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HarjotSingh\Downloads\deploy-68969633c7658b526efc433f\assets\"/>
    </mc:Choice>
  </mc:AlternateContent>
  <xr:revisionPtr revIDLastSave="0" documentId="13_ncr:1_{6A5CF144-D77F-4A2E-BFA9-0D716DD052DD}" xr6:coauthVersionLast="47" xr6:coauthVersionMax="47" xr10:uidLastSave="{00000000-0000-0000-0000-000000000000}"/>
  <bookViews>
    <workbookView xWindow="-120" yWindow="-120" windowWidth="29040" windowHeight="15720" xr2:uid="{00000000-000D-0000-FFFF-FFFF00000000}"/>
  </bookViews>
  <sheets>
    <sheet name="C. R. W. D. W. H. S " sheetId="1" r:id="rId1"/>
    <sheet name="Sheet1" sheetId="2" r:id="rId2"/>
  </sheets>
  <definedNames>
    <definedName name="_xlnm.Print_Area" localSheetId="0">'C. R. W. D. W. H. S '!$A$1:$I$482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4" i="1" l="1"/>
  <c r="M342" i="1" l="1"/>
  <c r="M406" i="1" s="1"/>
  <c r="D68" i="1" l="1"/>
  <c r="B123" i="1" s="1"/>
  <c r="D75" i="1"/>
  <c r="H68" i="1"/>
  <c r="H70" i="1" s="1"/>
  <c r="F471" i="1" s="1"/>
  <c r="F122" i="1"/>
  <c r="F124" i="1"/>
  <c r="D349" i="1" s="1"/>
  <c r="H67" i="1"/>
  <c r="F125" i="1" s="1"/>
  <c r="B130" i="1"/>
  <c r="F129" i="1"/>
  <c r="F131" i="1" s="1"/>
  <c r="C122" i="1"/>
  <c r="C123" i="1"/>
  <c r="C124" i="1"/>
  <c r="G123" i="1"/>
  <c r="G124" i="1"/>
  <c r="C128" i="1"/>
  <c r="C129" i="1"/>
  <c r="C130" i="1"/>
  <c r="I143" i="1"/>
  <c r="D69" i="1"/>
  <c r="D439" i="1" s="1"/>
  <c r="G129" i="1"/>
  <c r="H69" i="1"/>
  <c r="H71" i="1" s="1"/>
  <c r="D471" i="1" s="1"/>
  <c r="G159" i="1"/>
  <c r="G161" i="1" s="1"/>
  <c r="B193" i="1"/>
  <c r="B134" i="1"/>
  <c r="C398" i="1"/>
  <c r="D416" i="1"/>
  <c r="D398" i="1"/>
  <c r="C379" i="1"/>
  <c r="D358" i="1"/>
  <c r="C320" i="1"/>
  <c r="D340" i="1"/>
  <c r="C340" i="1"/>
  <c r="G433" i="1"/>
  <c r="H433" i="1" s="1"/>
  <c r="G432" i="1"/>
  <c r="H432" i="1" s="1"/>
  <c r="Q430" i="1"/>
  <c r="M428" i="1"/>
  <c r="Q429" i="1"/>
  <c r="Q428" i="1"/>
  <c r="P429" i="1"/>
  <c r="P430" i="1"/>
  <c r="P428" i="1"/>
  <c r="O429" i="1"/>
  <c r="O430" i="1"/>
  <c r="O428" i="1"/>
  <c r="N429" i="1"/>
  <c r="N430" i="1"/>
  <c r="N428" i="1"/>
  <c r="M430" i="1"/>
  <c r="M429" i="1"/>
  <c r="C453" i="1"/>
  <c r="C451" i="1"/>
  <c r="O447" i="1" s="1"/>
  <c r="D450" i="1"/>
  <c r="C450" i="1"/>
  <c r="O446" i="1" s="1"/>
  <c r="C448" i="1"/>
  <c r="K456" i="1" s="1"/>
  <c r="E480" i="1"/>
  <c r="H479" i="1"/>
  <c r="H474" i="1"/>
  <c r="H460" i="1"/>
  <c r="I471" i="1"/>
  <c r="C478" i="1"/>
  <c r="A479" i="1"/>
  <c r="F473" i="1"/>
  <c r="C473" i="1"/>
  <c r="C459" i="1" s="1"/>
  <c r="E379" i="1"/>
  <c r="A459" i="1"/>
  <c r="F459" i="1" s="1"/>
  <c r="C454" i="1"/>
  <c r="B438" i="1"/>
  <c r="B439" i="1"/>
  <c r="C439" i="1"/>
  <c r="K447" i="1" s="1"/>
  <c r="B441" i="1"/>
  <c r="B440" i="1"/>
  <c r="C441" i="1"/>
  <c r="K449" i="1" s="1"/>
  <c r="C443" i="1"/>
  <c r="B445" i="1"/>
  <c r="B444" i="1"/>
  <c r="C445" i="1"/>
  <c r="K453" i="1" s="1"/>
  <c r="B447" i="1"/>
  <c r="B446" i="1"/>
  <c r="C447" i="1"/>
  <c r="K455" i="1" s="1"/>
  <c r="B449" i="1"/>
  <c r="B448" i="1"/>
  <c r="C449" i="1"/>
  <c r="K457" i="1" s="1"/>
  <c r="K451" i="1"/>
  <c r="C455" i="1"/>
  <c r="O451" i="1" s="1"/>
  <c r="D454" i="1"/>
  <c r="B453" i="1"/>
  <c r="B455" i="1"/>
  <c r="B454" i="1"/>
  <c r="D452" i="1"/>
  <c r="B452" i="1"/>
  <c r="C452" i="1"/>
  <c r="O449" i="1"/>
  <c r="C446" i="1"/>
  <c r="K454" i="1" s="1"/>
  <c r="C444" i="1"/>
  <c r="K452" i="1" s="1"/>
  <c r="C442" i="1"/>
  <c r="K450" i="1" s="1"/>
  <c r="C440" i="1"/>
  <c r="K448" i="1" s="1"/>
  <c r="C438" i="1"/>
  <c r="K446" i="1" s="1"/>
  <c r="D320" i="1"/>
  <c r="P224" i="1"/>
  <c r="Y224" i="1" s="1"/>
  <c r="AH224" i="1" s="1"/>
  <c r="M83" i="1"/>
  <c r="N83" i="1"/>
  <c r="N101" i="1"/>
  <c r="M101" i="1"/>
  <c r="N92" i="1"/>
  <c r="M92" i="1"/>
  <c r="N91" i="1"/>
  <c r="M91" i="1"/>
  <c r="Q101" i="1"/>
  <c r="Q92" i="1"/>
  <c r="Q91" i="1"/>
  <c r="Q82" i="1"/>
  <c r="Q81" i="1"/>
  <c r="K101" i="1"/>
  <c r="K92" i="1"/>
  <c r="K91" i="1"/>
  <c r="N82" i="1"/>
  <c r="N81" i="1"/>
  <c r="M82" i="1"/>
  <c r="O82" i="1" s="1"/>
  <c r="M81" i="1"/>
  <c r="K83" i="1"/>
  <c r="K82" i="1"/>
  <c r="K81" i="1"/>
  <c r="H85" i="1"/>
  <c r="F291" i="1"/>
  <c r="C434" i="1" s="1"/>
  <c r="D434" i="1" s="1"/>
  <c r="F290" i="1"/>
  <c r="G113" i="1"/>
  <c r="G105" i="1"/>
  <c r="E99" i="1"/>
  <c r="D99" i="1"/>
  <c r="C99" i="1"/>
  <c r="A114" i="1"/>
  <c r="E115" i="1"/>
  <c r="B115" i="1"/>
  <c r="H73" i="1"/>
  <c r="H72" i="1"/>
  <c r="B480" i="1"/>
  <c r="F478" i="1"/>
  <c r="H471" i="1"/>
  <c r="D445" i="1"/>
  <c r="D447" i="1"/>
  <c r="D449" i="1"/>
  <c r="D446" i="1"/>
  <c r="D448" i="1"/>
  <c r="D444" i="1"/>
  <c r="D407" i="1"/>
  <c r="D115" i="1"/>
  <c r="D117" i="1"/>
  <c r="D74" i="1" l="1"/>
  <c r="G110" i="1" s="1"/>
  <c r="C135" i="1"/>
  <c r="D441" i="1"/>
  <c r="E317" i="1"/>
  <c r="B135" i="1"/>
  <c r="D135" i="1" s="1"/>
  <c r="D330" i="1"/>
  <c r="B450" i="1"/>
  <c r="D440" i="1"/>
  <c r="C395" i="1"/>
  <c r="C401" i="1" s="1"/>
  <c r="C402" i="1" s="1"/>
  <c r="D413" i="1"/>
  <c r="D419" i="1" s="1"/>
  <c r="D420" i="1" s="1"/>
  <c r="G426" i="1"/>
  <c r="H426" i="1" s="1"/>
  <c r="D453" i="1"/>
  <c r="P449" i="1" s="1"/>
  <c r="Q449" i="1" s="1"/>
  <c r="A466" i="1"/>
  <c r="F466" i="1" s="1"/>
  <c r="C466" i="1"/>
  <c r="C376" i="1"/>
  <c r="C382" i="1" s="1"/>
  <c r="C383" i="1" s="1"/>
  <c r="B471" i="1"/>
  <c r="D466" i="1"/>
  <c r="E471" i="1"/>
  <c r="E479" i="1"/>
  <c r="D355" i="1"/>
  <c r="D361" i="1" s="1"/>
  <c r="D362" i="1" s="1"/>
  <c r="C429" i="1"/>
  <c r="G291" i="1"/>
  <c r="L456" i="1"/>
  <c r="M456" i="1" s="1"/>
  <c r="C433" i="1"/>
  <c r="L457" i="1"/>
  <c r="M457" i="1" s="1"/>
  <c r="D424" i="1"/>
  <c r="C428" i="1"/>
  <c r="D428" i="1" s="1"/>
  <c r="C337" i="1"/>
  <c r="C343" i="1" s="1"/>
  <c r="O299" i="1"/>
  <c r="O357" i="1" s="1"/>
  <c r="G431" i="1"/>
  <c r="H431" i="1" s="1"/>
  <c r="L453" i="1"/>
  <c r="M453" i="1" s="1"/>
  <c r="C432" i="1"/>
  <c r="D432" i="1" s="1"/>
  <c r="C425" i="1"/>
  <c r="P446" i="1"/>
  <c r="Q446" i="1" s="1"/>
  <c r="D130" i="1"/>
  <c r="F123" i="1"/>
  <c r="H123" i="1" s="1"/>
  <c r="O101" i="1"/>
  <c r="A107" i="1"/>
  <c r="H108" i="1"/>
  <c r="G376" i="1"/>
  <c r="D389" i="1"/>
  <c r="B451" i="1"/>
  <c r="D442" i="1"/>
  <c r="L450" i="1" s="1"/>
  <c r="D443" i="1"/>
  <c r="L451" i="1" s="1"/>
  <c r="D70" i="1"/>
  <c r="F299" i="1"/>
  <c r="C136" i="1"/>
  <c r="B136" i="1"/>
  <c r="D136" i="1" s="1"/>
  <c r="B129" i="1"/>
  <c r="D129" i="1" s="1"/>
  <c r="H124" i="1"/>
  <c r="M327" i="1"/>
  <c r="N327" i="1"/>
  <c r="B128" i="1"/>
  <c r="N299" i="1"/>
  <c r="M299" i="1"/>
  <c r="D71" i="1"/>
  <c r="D72" i="1" s="1"/>
  <c r="D463" i="1" s="1"/>
  <c r="M298" i="1"/>
  <c r="O81" i="1"/>
  <c r="L455" i="1"/>
  <c r="M455" i="1" s="1"/>
  <c r="F292" i="1"/>
  <c r="F293" i="1" s="1"/>
  <c r="C427" i="1"/>
  <c r="D427" i="1" s="1"/>
  <c r="C431" i="1"/>
  <c r="C435" i="1"/>
  <c r="D435" i="1" s="1"/>
  <c r="C426" i="1"/>
  <c r="D426" i="1" s="1"/>
  <c r="C430" i="1"/>
  <c r="C317" i="1"/>
  <c r="C323" i="1" s="1"/>
  <c r="AQ224" i="1"/>
  <c r="C134" i="1"/>
  <c r="D134" i="1" s="1"/>
  <c r="G122" i="1"/>
  <c r="H122" i="1" s="1"/>
  <c r="D123" i="1"/>
  <c r="B124" i="1"/>
  <c r="D124" i="1" s="1"/>
  <c r="B122" i="1"/>
  <c r="B443" i="1"/>
  <c r="E320" i="1"/>
  <c r="K88" i="1" s="1"/>
  <c r="G180" i="1"/>
  <c r="B191" i="1" s="1"/>
  <c r="D194" i="1" s="1"/>
  <c r="H200" i="1" s="1"/>
  <c r="G178" i="1"/>
  <c r="B192" i="1" s="1"/>
  <c r="D195" i="1" s="1"/>
  <c r="L447" i="1"/>
  <c r="M447" i="1" s="1"/>
  <c r="D459" i="1"/>
  <c r="E150" i="1"/>
  <c r="G125" i="1"/>
  <c r="H125" i="1" s="1"/>
  <c r="L449" i="1"/>
  <c r="M449" i="1" s="1"/>
  <c r="O91" i="1"/>
  <c r="O450" i="1"/>
  <c r="P450" i="1" s="1"/>
  <c r="Q450" i="1" s="1"/>
  <c r="G428" i="1"/>
  <c r="H428" i="1" s="1"/>
  <c r="M343" i="1"/>
  <c r="A471" i="1"/>
  <c r="O92" i="1"/>
  <c r="L448" i="1"/>
  <c r="M448" i="1" s="1"/>
  <c r="L452" i="1"/>
  <c r="M452" i="1" s="1"/>
  <c r="D455" i="1"/>
  <c r="P451" i="1" s="1"/>
  <c r="Q451" i="1" s="1"/>
  <c r="G290" i="1"/>
  <c r="K96" i="1"/>
  <c r="K87" i="1"/>
  <c r="K104" i="1"/>
  <c r="D317" i="1"/>
  <c r="E376" i="1"/>
  <c r="D395" i="1"/>
  <c r="D337" i="1"/>
  <c r="O448" i="1"/>
  <c r="P448" i="1" s="1"/>
  <c r="Q448" i="1" s="1"/>
  <c r="G427" i="1"/>
  <c r="H427" i="1" s="1"/>
  <c r="G379" i="1"/>
  <c r="B442" i="1"/>
  <c r="Q83" i="1"/>
  <c r="O83" i="1" s="1"/>
  <c r="K95" i="1"/>
  <c r="C471" i="1"/>
  <c r="L454" i="1"/>
  <c r="M454" i="1" s="1"/>
  <c r="K86" i="1"/>
  <c r="H129" i="1"/>
  <c r="H131" i="1" s="1"/>
  <c r="H151" i="1"/>
  <c r="L83" i="1" l="1"/>
  <c r="D431" i="1"/>
  <c r="D433" i="1"/>
  <c r="F126" i="1"/>
  <c r="G292" i="1"/>
  <c r="G293" i="1" s="1"/>
  <c r="D425" i="1"/>
  <c r="D429" i="1"/>
  <c r="L81" i="1"/>
  <c r="D73" i="1"/>
  <c r="O300" i="1" s="1"/>
  <c r="O358" i="1" s="1"/>
  <c r="L101" i="1"/>
  <c r="H126" i="1"/>
  <c r="BE224" i="1"/>
  <c r="L91" i="1"/>
  <c r="B137" i="1"/>
  <c r="G370" i="1"/>
  <c r="F294" i="1"/>
  <c r="F370" i="1"/>
  <c r="E200" i="1"/>
  <c r="E206" i="1" s="1"/>
  <c r="H368" i="1"/>
  <c r="H369" i="1" s="1"/>
  <c r="B131" i="1"/>
  <c r="C463" i="1"/>
  <c r="M451" i="1"/>
  <c r="E323" i="1"/>
  <c r="E324" i="1" s="1"/>
  <c r="M450" i="1"/>
  <c r="D430" i="1"/>
  <c r="A463" i="1"/>
  <c r="F463" i="1" s="1"/>
  <c r="C303" i="1"/>
  <c r="C368" i="1" s="1"/>
  <c r="C330" i="1"/>
  <c r="C389" i="1"/>
  <c r="M388" i="1"/>
  <c r="M393" i="1" s="1"/>
  <c r="M328" i="1"/>
  <c r="M332" i="1"/>
  <c r="N388" i="1"/>
  <c r="N393" i="1" s="1"/>
  <c r="N328" i="1"/>
  <c r="M407" i="1"/>
  <c r="M409" i="1" s="1"/>
  <c r="M344" i="1"/>
  <c r="M408" i="1" s="1"/>
  <c r="N300" i="1"/>
  <c r="N358" i="1" s="1"/>
  <c r="N357" i="1"/>
  <c r="D128" i="1"/>
  <c r="D131" i="1" s="1"/>
  <c r="M357" i="1"/>
  <c r="B126" i="1"/>
  <c r="C324" i="1"/>
  <c r="L224" i="1"/>
  <c r="D122" i="1"/>
  <c r="D126" i="1" s="1"/>
  <c r="O298" i="1"/>
  <c r="N298" i="1"/>
  <c r="M356" i="1"/>
  <c r="BI224" i="1"/>
  <c r="AZ224" i="1"/>
  <c r="E154" i="1"/>
  <c r="E276" i="1"/>
  <c r="H370" i="1"/>
  <c r="F368" i="1"/>
  <c r="F369" i="1" s="1"/>
  <c r="G368" i="1"/>
  <c r="G369" i="1" s="1"/>
  <c r="H153" i="1"/>
  <c r="D276" i="1"/>
  <c r="D278" i="1" s="1"/>
  <c r="G214" i="1"/>
  <c r="G241" i="1" s="1"/>
  <c r="AM224" i="1"/>
  <c r="C344" i="1"/>
  <c r="G382" i="1"/>
  <c r="G383" i="1" s="1"/>
  <c r="D401" i="1"/>
  <c r="D402" i="1" s="1"/>
  <c r="L82" i="1"/>
  <c r="D323" i="1"/>
  <c r="M345" i="1"/>
  <c r="H203" i="1"/>
  <c r="D137" i="1"/>
  <c r="N332" i="1"/>
  <c r="E175" i="1"/>
  <c r="E174" i="1"/>
  <c r="D343" i="1"/>
  <c r="L92" i="1"/>
  <c r="E382" i="1"/>
  <c r="E383" i="1" s="1"/>
  <c r="L461" i="1" l="1"/>
  <c r="D277" i="1"/>
  <c r="D279" i="1" s="1"/>
  <c r="B139" i="1"/>
  <c r="G213" i="1" s="1"/>
  <c r="H218" i="1" s="1"/>
  <c r="I218" i="1" s="1"/>
  <c r="G294" i="1"/>
  <c r="C309" i="1"/>
  <c r="C369" i="1" s="1"/>
  <c r="C371" i="1" s="1"/>
  <c r="D438" i="1"/>
  <c r="D451" i="1" s="1"/>
  <c r="P447" i="1" s="1"/>
  <c r="Q447" i="1" s="1"/>
  <c r="Q452" i="1" s="1"/>
  <c r="O301" i="1"/>
  <c r="O302" i="1" s="1"/>
  <c r="O303" i="1" s="1"/>
  <c r="C311" i="1"/>
  <c r="M300" i="1"/>
  <c r="M301" i="1" s="1"/>
  <c r="M302" i="1" s="1"/>
  <c r="G371" i="1"/>
  <c r="E368" i="1"/>
  <c r="E309" i="1"/>
  <c r="E310" i="1" s="1"/>
  <c r="E312" i="1" s="1"/>
  <c r="C370" i="1"/>
  <c r="E370" i="1"/>
  <c r="E311" i="1"/>
  <c r="H259" i="1"/>
  <c r="D370" i="1"/>
  <c r="H371" i="1"/>
  <c r="BE212" i="1"/>
  <c r="BE221" i="1"/>
  <c r="BJ221" i="1" s="1"/>
  <c r="BI221" i="1" s="1"/>
  <c r="BH221" i="1" s="1"/>
  <c r="BG221" i="1" s="1"/>
  <c r="BF221" i="1" s="1"/>
  <c r="BE220" i="1"/>
  <c r="BJ220" i="1" s="1"/>
  <c r="BI220" i="1" s="1"/>
  <c r="BH220" i="1" s="1"/>
  <c r="BG220" i="1" s="1"/>
  <c r="BF220" i="1" s="1"/>
  <c r="BE214" i="1"/>
  <c r="BJ214" i="1" s="1"/>
  <c r="BI214" i="1" s="1"/>
  <c r="BH214" i="1" s="1"/>
  <c r="BG214" i="1" s="1"/>
  <c r="BF214" i="1" s="1"/>
  <c r="BK213" i="1" s="1"/>
  <c r="BE219" i="1"/>
  <c r="BJ219" i="1" s="1"/>
  <c r="BI219" i="1" s="1"/>
  <c r="BH219" i="1" s="1"/>
  <c r="BG219" i="1" s="1"/>
  <c r="BF219" i="1" s="1"/>
  <c r="BK218" i="1" s="1"/>
  <c r="BE217" i="1"/>
  <c r="BJ217" i="1" s="1"/>
  <c r="BI217" i="1" s="1"/>
  <c r="BH217" i="1" s="1"/>
  <c r="BG217" i="1" s="1"/>
  <c r="BF217" i="1" s="1"/>
  <c r="BE218" i="1"/>
  <c r="BJ218" i="1" s="1"/>
  <c r="BI218" i="1" s="1"/>
  <c r="BH218" i="1" s="1"/>
  <c r="BG218" i="1" s="1"/>
  <c r="BF218" i="1" s="1"/>
  <c r="BE213" i="1"/>
  <c r="BJ213" i="1" s="1"/>
  <c r="BI213" i="1" s="1"/>
  <c r="BH213" i="1" s="1"/>
  <c r="BG213" i="1" s="1"/>
  <c r="BF213" i="1" s="1"/>
  <c r="D309" i="1"/>
  <c r="D310" i="1" s="1"/>
  <c r="E277" i="1"/>
  <c r="E279" i="1" s="1"/>
  <c r="D311" i="1"/>
  <c r="BE211" i="1"/>
  <c r="BJ211" i="1" s="1"/>
  <c r="BI211" i="1" s="1"/>
  <c r="BH211" i="1" s="1"/>
  <c r="BG211" i="1" s="1"/>
  <c r="BF211" i="1" s="1"/>
  <c r="F371" i="1"/>
  <c r="D368" i="1"/>
  <c r="BE216" i="1"/>
  <c r="BJ216" i="1" s="1"/>
  <c r="BI216" i="1" s="1"/>
  <c r="BH216" i="1" s="1"/>
  <c r="BG216" i="1" s="1"/>
  <c r="BF216" i="1" s="1"/>
  <c r="E278" i="1"/>
  <c r="G240" i="1"/>
  <c r="C276" i="1"/>
  <c r="C279" i="1" s="1"/>
  <c r="AD224" i="1"/>
  <c r="AD218" i="1" s="1"/>
  <c r="N301" i="1"/>
  <c r="N302" i="1" s="1"/>
  <c r="N303" i="1" s="1"/>
  <c r="N330" i="1"/>
  <c r="N389" i="1"/>
  <c r="N391" i="1" s="1"/>
  <c r="N329" i="1"/>
  <c r="N390" i="1" s="1"/>
  <c r="M333" i="1"/>
  <c r="M334" i="1"/>
  <c r="M389" i="1"/>
  <c r="M391" i="1" s="1"/>
  <c r="M330" i="1"/>
  <c r="M329" i="1"/>
  <c r="M390" i="1" s="1"/>
  <c r="M331" i="1"/>
  <c r="B140" i="1"/>
  <c r="G215" i="1" s="1"/>
  <c r="G242" i="1" s="1"/>
  <c r="O305" i="1"/>
  <c r="N306" i="1"/>
  <c r="H451" i="1"/>
  <c r="I451" i="1" s="1"/>
  <c r="O356" i="1"/>
  <c r="N356" i="1"/>
  <c r="L212" i="1"/>
  <c r="L214" i="1"/>
  <c r="L221" i="1"/>
  <c r="L218" i="1"/>
  <c r="L220" i="1"/>
  <c r="L211" i="1"/>
  <c r="L219" i="1"/>
  <c r="L217" i="1"/>
  <c r="L213" i="1"/>
  <c r="L216" i="1"/>
  <c r="AV224" i="1"/>
  <c r="D344" i="1"/>
  <c r="N392" i="1"/>
  <c r="N395" i="1"/>
  <c r="N394" i="1"/>
  <c r="U224" i="1"/>
  <c r="D324" i="1"/>
  <c r="AM218" i="1"/>
  <c r="AM221" i="1"/>
  <c r="AM216" i="1"/>
  <c r="AM212" i="1"/>
  <c r="AM219" i="1"/>
  <c r="D352" i="1"/>
  <c r="AM220" i="1"/>
  <c r="AM213" i="1"/>
  <c r="AM217" i="1"/>
  <c r="AM214" i="1"/>
  <c r="AM211" i="1"/>
  <c r="D369" i="1"/>
  <c r="D371" i="1" s="1"/>
  <c r="C277" i="1"/>
  <c r="H223" i="1"/>
  <c r="N331" i="1"/>
  <c r="N334" i="1"/>
  <c r="N333" i="1"/>
  <c r="H224" i="1"/>
  <c r="E369" i="1" l="1"/>
  <c r="E371" i="1" s="1"/>
  <c r="O306" i="1"/>
  <c r="D312" i="1"/>
  <c r="BK220" i="1"/>
  <c r="L446" i="1"/>
  <c r="M446" i="1" s="1"/>
  <c r="M458" i="1" s="1"/>
  <c r="I453" i="1" s="1"/>
  <c r="C310" i="1"/>
  <c r="C312" i="1" s="1"/>
  <c r="H258" i="1"/>
  <c r="C278" i="1"/>
  <c r="G243" i="1"/>
  <c r="G244" i="1" s="1"/>
  <c r="A248" i="1" s="1"/>
  <c r="G276" i="1"/>
  <c r="AD213" i="1"/>
  <c r="AI213" i="1" s="1"/>
  <c r="AH213" i="1" s="1"/>
  <c r="AG213" i="1" s="1"/>
  <c r="AF213" i="1" s="1"/>
  <c r="H225" i="1"/>
  <c r="M358" i="1"/>
  <c r="BJ212" i="1"/>
  <c r="BI212" i="1" s="1"/>
  <c r="BH212" i="1" s="1"/>
  <c r="BG212" i="1" s="1"/>
  <c r="BF212" i="1" s="1"/>
  <c r="BK211" i="1" s="1"/>
  <c r="M392" i="1"/>
  <c r="BK216" i="1"/>
  <c r="BI225" i="1" s="1"/>
  <c r="BE225" i="1" s="1"/>
  <c r="M395" i="1"/>
  <c r="AD216" i="1"/>
  <c r="AI216" i="1" s="1"/>
  <c r="AH216" i="1" s="1"/>
  <c r="AG216" i="1" s="1"/>
  <c r="AF216" i="1" s="1"/>
  <c r="AE216" i="1" s="1"/>
  <c r="AD212" i="1"/>
  <c r="AI212" i="1" s="1"/>
  <c r="AH212" i="1" s="1"/>
  <c r="AG212" i="1" s="1"/>
  <c r="AF212" i="1" s="1"/>
  <c r="AE212" i="1" s="1"/>
  <c r="AD220" i="1"/>
  <c r="AI220" i="1" s="1"/>
  <c r="AH220" i="1" s="1"/>
  <c r="AG220" i="1" s="1"/>
  <c r="AF220" i="1" s="1"/>
  <c r="AE220" i="1" s="1"/>
  <c r="H231" i="1"/>
  <c r="F278" i="1" s="1"/>
  <c r="AD214" i="1"/>
  <c r="AI214" i="1" s="1"/>
  <c r="AH214" i="1" s="1"/>
  <c r="AG214" i="1" s="1"/>
  <c r="AD219" i="1"/>
  <c r="AI219" i="1" s="1"/>
  <c r="AH219" i="1" s="1"/>
  <c r="AG219" i="1" s="1"/>
  <c r="AF219" i="1" s="1"/>
  <c r="AE219" i="1" s="1"/>
  <c r="AD217" i="1"/>
  <c r="AI217" i="1" s="1"/>
  <c r="AH217" i="1" s="1"/>
  <c r="AG217" i="1" s="1"/>
  <c r="AF217" i="1" s="1"/>
  <c r="AE217" i="1" s="1"/>
  <c r="AD221" i="1"/>
  <c r="AI221" i="1" s="1"/>
  <c r="AH221" i="1" s="1"/>
  <c r="AG221" i="1" s="1"/>
  <c r="AF221" i="1" s="1"/>
  <c r="AE221" i="1" s="1"/>
  <c r="AD211" i="1"/>
  <c r="AI211" i="1" s="1"/>
  <c r="AH211" i="1" s="1"/>
  <c r="AG211" i="1" s="1"/>
  <c r="AF211" i="1" s="1"/>
  <c r="AE211" i="1" s="1"/>
  <c r="M394" i="1"/>
  <c r="N305" i="1"/>
  <c r="Q300" i="1" s="1"/>
  <c r="D313" i="1" s="1"/>
  <c r="H260" i="1"/>
  <c r="H261" i="1" s="1"/>
  <c r="H262" i="1" s="1"/>
  <c r="D268" i="1" s="1"/>
  <c r="H220" i="1"/>
  <c r="R300" i="1"/>
  <c r="E313" i="1" s="1"/>
  <c r="M359" i="1"/>
  <c r="M305" i="1"/>
  <c r="M306" i="1"/>
  <c r="M213" i="1"/>
  <c r="Q213" i="1"/>
  <c r="P213" i="1" s="1"/>
  <c r="O213" i="1" s="1"/>
  <c r="N213" i="1" s="1"/>
  <c r="Q219" i="1"/>
  <c r="P219" i="1" s="1"/>
  <c r="O219" i="1" s="1"/>
  <c r="N219" i="1" s="1"/>
  <c r="M219" i="1"/>
  <c r="Q220" i="1"/>
  <c r="P220" i="1" s="1"/>
  <c r="O220" i="1" s="1"/>
  <c r="N220" i="1" s="1"/>
  <c r="M220" i="1"/>
  <c r="Q221" i="1"/>
  <c r="P221" i="1" s="1"/>
  <c r="O221" i="1" s="1"/>
  <c r="N221" i="1" s="1"/>
  <c r="M221" i="1"/>
  <c r="Q212" i="1"/>
  <c r="P212" i="1" s="1"/>
  <c r="O212" i="1" s="1"/>
  <c r="N212" i="1" s="1"/>
  <c r="M212" i="1"/>
  <c r="Q216" i="1"/>
  <c r="P216" i="1" s="1"/>
  <c r="O216" i="1" s="1"/>
  <c r="N216" i="1" s="1"/>
  <c r="M216" i="1"/>
  <c r="Q217" i="1"/>
  <c r="P217" i="1" s="1"/>
  <c r="O217" i="1" s="1"/>
  <c r="N217" i="1" s="1"/>
  <c r="M217" i="1"/>
  <c r="Q211" i="1"/>
  <c r="P211" i="1" s="1"/>
  <c r="O211" i="1" s="1"/>
  <c r="N211" i="1" s="1"/>
  <c r="M211" i="1"/>
  <c r="M218" i="1"/>
  <c r="Q218" i="1"/>
  <c r="P218" i="1" s="1"/>
  <c r="O218" i="1" s="1"/>
  <c r="N218" i="1" s="1"/>
  <c r="M214" i="1"/>
  <c r="Q214" i="1"/>
  <c r="P214" i="1" s="1"/>
  <c r="O214" i="1" s="1"/>
  <c r="N214" i="1" s="1"/>
  <c r="N359" i="1"/>
  <c r="N363" i="1" s="1"/>
  <c r="O359" i="1"/>
  <c r="K369" i="1"/>
  <c r="C375" i="1"/>
  <c r="C377" i="1" s="1"/>
  <c r="C378" i="1"/>
  <c r="E378" i="1"/>
  <c r="L369" i="1"/>
  <c r="E375" i="1"/>
  <c r="E377" i="1" s="1"/>
  <c r="AR211" i="1"/>
  <c r="AQ211" i="1" s="1"/>
  <c r="AP211" i="1" s="1"/>
  <c r="AO211" i="1" s="1"/>
  <c r="AN211" i="1" s="1"/>
  <c r="AR217" i="1"/>
  <c r="AQ217" i="1" s="1"/>
  <c r="AP217" i="1" s="1"/>
  <c r="AO217" i="1" s="1"/>
  <c r="AN217" i="1" s="1"/>
  <c r="AR220" i="1"/>
  <c r="AQ220" i="1" s="1"/>
  <c r="AP220" i="1" s="1"/>
  <c r="AO220" i="1" s="1"/>
  <c r="AN220" i="1" s="1"/>
  <c r="AR219" i="1"/>
  <c r="AQ219" i="1" s="1"/>
  <c r="AP219" i="1" s="1"/>
  <c r="AO219" i="1" s="1"/>
  <c r="AN219" i="1" s="1"/>
  <c r="AR216" i="1"/>
  <c r="AQ216" i="1" s="1"/>
  <c r="AP216" i="1" s="1"/>
  <c r="AO216" i="1" s="1"/>
  <c r="AN216" i="1" s="1"/>
  <c r="AR218" i="1"/>
  <c r="AQ218" i="1" s="1"/>
  <c r="AP218" i="1" s="1"/>
  <c r="AO218" i="1" s="1"/>
  <c r="AN218" i="1" s="1"/>
  <c r="G375" i="1"/>
  <c r="G377" i="1" s="1"/>
  <c r="M369" i="1"/>
  <c r="G378" i="1"/>
  <c r="AR214" i="1"/>
  <c r="AQ214" i="1" s="1"/>
  <c r="AP214" i="1" s="1"/>
  <c r="AO214" i="1" s="1"/>
  <c r="AN214" i="1" s="1"/>
  <c r="AR213" i="1"/>
  <c r="AQ213" i="1" s="1"/>
  <c r="AP213" i="1" s="1"/>
  <c r="AO213" i="1" s="1"/>
  <c r="AN213" i="1" s="1"/>
  <c r="D410" i="1"/>
  <c r="AR212" i="1"/>
  <c r="AQ212" i="1" s="1"/>
  <c r="AP212" i="1" s="1"/>
  <c r="AO212" i="1" s="1"/>
  <c r="AN212" i="1" s="1"/>
  <c r="AR221" i="1"/>
  <c r="AQ221" i="1" s="1"/>
  <c r="AP221" i="1" s="1"/>
  <c r="AO221" i="1" s="1"/>
  <c r="AN221" i="1" s="1"/>
  <c r="U218" i="1"/>
  <c r="U221" i="1"/>
  <c r="U212" i="1"/>
  <c r="U216" i="1"/>
  <c r="U219" i="1"/>
  <c r="U213" i="1"/>
  <c r="U217" i="1"/>
  <c r="U220" i="1"/>
  <c r="U211" i="1"/>
  <c r="U214" i="1"/>
  <c r="AV221" i="1"/>
  <c r="AV219" i="1"/>
  <c r="AV212" i="1"/>
  <c r="AV220" i="1"/>
  <c r="AV216" i="1"/>
  <c r="AV211" i="1"/>
  <c r="AV217" i="1"/>
  <c r="AV213" i="1"/>
  <c r="AV214" i="1"/>
  <c r="AV218" i="1"/>
  <c r="AI218" i="1"/>
  <c r="AH218" i="1" s="1"/>
  <c r="AG218" i="1" s="1"/>
  <c r="AF218" i="1" s="1"/>
  <c r="AE218" i="1"/>
  <c r="H229" i="1"/>
  <c r="AE213" i="1" l="1"/>
  <c r="H244" i="1"/>
  <c r="A252" i="1"/>
  <c r="D250" i="1"/>
  <c r="F250" i="1" s="1"/>
  <c r="D254" i="1"/>
  <c r="E328" i="1" s="1"/>
  <c r="AF214" i="1"/>
  <c r="AE214" i="1" s="1"/>
  <c r="AJ213" i="1" s="1"/>
  <c r="I231" i="1"/>
  <c r="AS211" i="1"/>
  <c r="AJ220" i="1"/>
  <c r="F276" i="1"/>
  <c r="F279" i="1" s="1"/>
  <c r="I220" i="1"/>
  <c r="D347" i="1"/>
  <c r="R213" i="1"/>
  <c r="AJ216" i="1"/>
  <c r="AH225" i="1" s="1"/>
  <c r="AD225" i="1" s="1"/>
  <c r="E314" i="1" s="1"/>
  <c r="G373" i="1" s="1"/>
  <c r="M303" i="1"/>
  <c r="M361" i="1" s="1"/>
  <c r="M360" i="1"/>
  <c r="M365" i="1"/>
  <c r="M366" i="1"/>
  <c r="M363" i="1"/>
  <c r="M364" i="1"/>
  <c r="O365" i="1"/>
  <c r="O363" i="1"/>
  <c r="N365" i="1"/>
  <c r="AS220" i="1"/>
  <c r="O360" i="1"/>
  <c r="O366" i="1"/>
  <c r="O364" i="1"/>
  <c r="N360" i="1"/>
  <c r="R211" i="1"/>
  <c r="R218" i="1"/>
  <c r="N366" i="1"/>
  <c r="N364" i="1"/>
  <c r="R216" i="1"/>
  <c r="P225" i="1" s="1"/>
  <c r="L225" i="1" s="1"/>
  <c r="R220" i="1"/>
  <c r="AS213" i="1"/>
  <c r="AS218" i="1"/>
  <c r="BA214" i="1"/>
  <c r="AZ214" i="1" s="1"/>
  <c r="AY214" i="1" s="1"/>
  <c r="AX214" i="1" s="1"/>
  <c r="AW214" i="1" s="1"/>
  <c r="BA217" i="1"/>
  <c r="AZ217" i="1" s="1"/>
  <c r="AY217" i="1" s="1"/>
  <c r="AX217" i="1" s="1"/>
  <c r="AW217" i="1" s="1"/>
  <c r="BA216" i="1"/>
  <c r="AZ216" i="1" s="1"/>
  <c r="AY216" i="1" s="1"/>
  <c r="AX216" i="1" s="1"/>
  <c r="AW216" i="1" s="1"/>
  <c r="BA212" i="1"/>
  <c r="AZ212" i="1" s="1"/>
  <c r="AY212" i="1" s="1"/>
  <c r="AX212" i="1" s="1"/>
  <c r="AW212" i="1" s="1"/>
  <c r="BA221" i="1"/>
  <c r="AZ221" i="1" s="1"/>
  <c r="AY221" i="1" s="1"/>
  <c r="AX221" i="1" s="1"/>
  <c r="AW221" i="1" s="1"/>
  <c r="Z211" i="1"/>
  <c r="Y211" i="1" s="1"/>
  <c r="X211" i="1" s="1"/>
  <c r="W211" i="1" s="1"/>
  <c r="V211" i="1" s="1"/>
  <c r="Z217" i="1"/>
  <c r="Y217" i="1" s="1"/>
  <c r="X217" i="1" s="1"/>
  <c r="W217" i="1" s="1"/>
  <c r="V217" i="1" s="1"/>
  <c r="Z219" i="1"/>
  <c r="Y219" i="1" s="1"/>
  <c r="X219" i="1" s="1"/>
  <c r="W219" i="1"/>
  <c r="V219" i="1" s="1"/>
  <c r="Z212" i="1"/>
  <c r="Y212" i="1" s="1"/>
  <c r="X212" i="1" s="1"/>
  <c r="W212" i="1"/>
  <c r="V212" i="1" s="1"/>
  <c r="Z218" i="1"/>
  <c r="Y218" i="1" s="1"/>
  <c r="X218" i="1" s="1"/>
  <c r="W218" i="1" s="1"/>
  <c r="V218" i="1" s="1"/>
  <c r="G381" i="1"/>
  <c r="G380" i="1"/>
  <c r="C381" i="1"/>
  <c r="C380" i="1"/>
  <c r="AJ218" i="1"/>
  <c r="AJ211" i="1"/>
  <c r="AS216" i="1"/>
  <c r="AQ225" i="1" s="1"/>
  <c r="AM225" i="1" s="1"/>
  <c r="C333" i="1" s="1"/>
  <c r="A266" i="1"/>
  <c r="H263" i="1"/>
  <c r="F268" i="1"/>
  <c r="A270" i="1"/>
  <c r="I229" i="1"/>
  <c r="G278" i="1"/>
  <c r="G279" i="1" s="1"/>
  <c r="BA218" i="1"/>
  <c r="AZ218" i="1" s="1"/>
  <c r="AY218" i="1" s="1"/>
  <c r="AX218" i="1" s="1"/>
  <c r="AW218" i="1" s="1"/>
  <c r="BA213" i="1"/>
  <c r="AZ213" i="1" s="1"/>
  <c r="AY213" i="1" s="1"/>
  <c r="AX213" i="1" s="1"/>
  <c r="AW213" i="1" s="1"/>
  <c r="BA211" i="1"/>
  <c r="AZ211" i="1" s="1"/>
  <c r="AY211" i="1" s="1"/>
  <c r="AX211" i="1" s="1"/>
  <c r="AW211" i="1" s="1"/>
  <c r="BA220" i="1"/>
  <c r="AZ220" i="1" s="1"/>
  <c r="AY220" i="1" s="1"/>
  <c r="AX220" i="1" s="1"/>
  <c r="AW220" i="1" s="1"/>
  <c r="BA219" i="1"/>
  <c r="AZ219" i="1" s="1"/>
  <c r="AY219" i="1" s="1"/>
  <c r="AX219" i="1" s="1"/>
  <c r="AW219" i="1" s="1"/>
  <c r="BB218" i="1" s="1"/>
  <c r="Z214" i="1"/>
  <c r="Y214" i="1" s="1"/>
  <c r="X214" i="1" s="1"/>
  <c r="W214" i="1" s="1"/>
  <c r="V214" i="1" s="1"/>
  <c r="Z220" i="1"/>
  <c r="Y220" i="1" s="1"/>
  <c r="X220" i="1" s="1"/>
  <c r="W220" i="1" s="1"/>
  <c r="V220" i="1" s="1"/>
  <c r="Z213" i="1"/>
  <c r="Y213" i="1" s="1"/>
  <c r="X213" i="1" s="1"/>
  <c r="W213" i="1" s="1"/>
  <c r="V213" i="1" s="1"/>
  <c r="Z216" i="1"/>
  <c r="Y216" i="1" s="1"/>
  <c r="X216" i="1" s="1"/>
  <c r="W216" i="1" s="1"/>
  <c r="V216" i="1" s="1"/>
  <c r="Z221" i="1"/>
  <c r="Y221" i="1" s="1"/>
  <c r="X221" i="1" s="1"/>
  <c r="W221" i="1" s="1"/>
  <c r="V221" i="1" s="1"/>
  <c r="D316" i="1"/>
  <c r="D318" i="1" s="1"/>
  <c r="D319" i="1"/>
  <c r="C319" i="1"/>
  <c r="C316" i="1"/>
  <c r="C318" i="1" s="1"/>
  <c r="E316" i="1"/>
  <c r="E318" i="1" s="1"/>
  <c r="E319" i="1"/>
  <c r="E381" i="1"/>
  <c r="E380" i="1"/>
  <c r="D272" i="1"/>
  <c r="I277" i="1" s="1"/>
  <c r="C328" i="1" l="1"/>
  <c r="C329" i="1" s="1"/>
  <c r="C331" i="1" s="1"/>
  <c r="C336" i="1" s="1"/>
  <c r="F254" i="1"/>
  <c r="D328" i="1"/>
  <c r="D329" i="1" s="1"/>
  <c r="D331" i="1" s="1"/>
  <c r="H276" i="1"/>
  <c r="I276" i="1"/>
  <c r="I279" i="1" s="1"/>
  <c r="D336" i="1"/>
  <c r="D338" i="1" s="1"/>
  <c r="D339" i="1"/>
  <c r="D342" i="1" s="1"/>
  <c r="P92" i="1" s="1"/>
  <c r="R92" i="1" s="1"/>
  <c r="R337" i="1"/>
  <c r="AA220" i="1"/>
  <c r="AA211" i="1"/>
  <c r="E315" i="1"/>
  <c r="M346" i="1"/>
  <c r="M347" i="1" s="1"/>
  <c r="M348" i="1" s="1"/>
  <c r="D351" i="1" s="1"/>
  <c r="D353" i="1" s="1"/>
  <c r="D348" i="1"/>
  <c r="D350" i="1" s="1"/>
  <c r="M335" i="1"/>
  <c r="M336" i="1" s="1"/>
  <c r="M337" i="1" s="1"/>
  <c r="C332" i="1" s="1"/>
  <c r="C334" i="1" s="1"/>
  <c r="P300" i="1"/>
  <c r="C313" i="1" s="1"/>
  <c r="Q337" i="1"/>
  <c r="C339" i="1"/>
  <c r="C342" i="1" s="1"/>
  <c r="P91" i="1" s="1"/>
  <c r="R91" i="1" s="1"/>
  <c r="C338" i="1"/>
  <c r="C314" i="1"/>
  <c r="C373" i="1" s="1"/>
  <c r="O361" i="1"/>
  <c r="C372" i="1"/>
  <c r="G372" i="1"/>
  <c r="G374" i="1" s="1"/>
  <c r="N361" i="1"/>
  <c r="E372" i="1" s="1"/>
  <c r="AA218" i="1"/>
  <c r="AA216" i="1"/>
  <c r="Y225" i="1" s="1"/>
  <c r="U225" i="1" s="1"/>
  <c r="D314" i="1" s="1"/>
  <c r="E373" i="1" s="1"/>
  <c r="AA213" i="1"/>
  <c r="C322" i="1"/>
  <c r="P81" i="1" s="1"/>
  <c r="R81" i="1" s="1"/>
  <c r="C321" i="1"/>
  <c r="C392" i="1"/>
  <c r="BB216" i="1"/>
  <c r="AZ225" i="1" s="1"/>
  <c r="AV225" i="1" s="1"/>
  <c r="D333" i="1" s="1"/>
  <c r="H277" i="1"/>
  <c r="H279" i="1" s="1"/>
  <c r="E387" i="1"/>
  <c r="C387" i="1"/>
  <c r="C388" i="1" s="1"/>
  <c r="C390" i="1" s="1"/>
  <c r="D405" i="1"/>
  <c r="D387" i="1"/>
  <c r="E322" i="1"/>
  <c r="P83" i="1" s="1"/>
  <c r="R83" i="1" s="1"/>
  <c r="E321" i="1"/>
  <c r="D322" i="1"/>
  <c r="P82" i="1" s="1"/>
  <c r="R82" i="1" s="1"/>
  <c r="D321" i="1"/>
  <c r="F272" i="1"/>
  <c r="BB220" i="1"/>
  <c r="BB211" i="1"/>
  <c r="BB213" i="1"/>
  <c r="N335" i="1" l="1"/>
  <c r="N336" i="1" s="1"/>
  <c r="N337" i="1" s="1"/>
  <c r="D332" i="1" s="1"/>
  <c r="D334" i="1" s="1"/>
  <c r="D341" i="1"/>
  <c r="D315" i="1"/>
  <c r="C341" i="1"/>
  <c r="C315" i="1"/>
  <c r="O348" i="1"/>
  <c r="D354" i="1"/>
  <c r="D356" i="1" s="1"/>
  <c r="D357" i="1"/>
  <c r="C374" i="1"/>
  <c r="E374" i="1"/>
  <c r="M410" i="1"/>
  <c r="M411" i="1" s="1"/>
  <c r="M412" i="1" s="1"/>
  <c r="D409" i="1" s="1"/>
  <c r="D411" i="1" s="1"/>
  <c r="D406" i="1"/>
  <c r="D408" i="1" s="1"/>
  <c r="M396" i="1"/>
  <c r="M397" i="1" s="1"/>
  <c r="M398" i="1" s="1"/>
  <c r="C391" i="1" s="1"/>
  <c r="C393" i="1" s="1"/>
  <c r="N396" i="1"/>
  <c r="N397" i="1" s="1"/>
  <c r="N398" i="1" s="1"/>
  <c r="D391" i="1" s="1"/>
  <c r="D392" i="1"/>
  <c r="C397" i="1"/>
  <c r="Q397" i="1"/>
  <c r="C394" i="1"/>
  <c r="C396" i="1" s="1"/>
  <c r="D388" i="1"/>
  <c r="D390" i="1" s="1"/>
  <c r="D359" i="1" l="1"/>
  <c r="D360" i="1"/>
  <c r="P101" i="1" s="1"/>
  <c r="R101" i="1" s="1"/>
  <c r="D393" i="1"/>
  <c r="R397" i="1"/>
  <c r="D397" i="1"/>
  <c r="D394" i="1"/>
  <c r="D396" i="1" s="1"/>
  <c r="C399" i="1"/>
  <c r="C400" i="1"/>
  <c r="D412" i="1"/>
  <c r="D414" i="1" s="1"/>
  <c r="D415" i="1"/>
  <c r="O412" i="1"/>
  <c r="D418" i="1" l="1"/>
  <c r="D417" i="1"/>
  <c r="D400" i="1"/>
  <c r="D399" i="1"/>
</calcChain>
</file>

<file path=xl/sharedStrings.xml><?xml version="1.0" encoding="utf-8"?>
<sst xmlns="http://schemas.openxmlformats.org/spreadsheetml/2006/main" count="663" uniqueCount="292">
  <si>
    <t>1.0 Introduction</t>
  </si>
  <si>
    <t xml:space="preserve">Figure 1 - Silent Dimensions </t>
  </si>
  <si>
    <t>m</t>
  </si>
  <si>
    <t>STEM</t>
  </si>
  <si>
    <t>Stem Bottom thickness</t>
  </si>
  <si>
    <t>BASE</t>
  </si>
  <si>
    <t>Base Taper heel</t>
  </si>
  <si>
    <t>Base Taper toe</t>
  </si>
  <si>
    <t>Wall Geometry</t>
  </si>
  <si>
    <t>Soil Property</t>
  </si>
  <si>
    <t>Safe Bearing Capacity</t>
  </si>
  <si>
    <t>Base Friction Coefficient (µ)</t>
  </si>
  <si>
    <t>Material Properties</t>
  </si>
  <si>
    <t>Grade of Concrete</t>
  </si>
  <si>
    <t>Grade of Steel</t>
  </si>
  <si>
    <t>Type of Soil</t>
  </si>
  <si>
    <t>Zone</t>
  </si>
  <si>
    <t>Zone Factor (Z)</t>
  </si>
  <si>
    <t>damping %</t>
  </si>
  <si>
    <t>Response Reduction Factor R)</t>
  </si>
  <si>
    <t>Importance Factor (I)</t>
  </si>
  <si>
    <t>V : H</t>
  </si>
  <si>
    <r>
      <t>Acceleration Coef. (s</t>
    </r>
    <r>
      <rPr>
        <vertAlign val="subscript"/>
        <sz val="11"/>
        <rFont val="Calibri"/>
        <family val="2"/>
      </rPr>
      <t>a</t>
    </r>
    <r>
      <rPr>
        <sz val="11"/>
        <rFont val="Calibri"/>
        <family val="2"/>
      </rPr>
      <t>/g)</t>
    </r>
  </si>
  <si>
    <t>Unit Wt.of Concrete</t>
  </si>
  <si>
    <t>Stem Taper Toe</t>
  </si>
  <si>
    <t>Stem Taper Heel</t>
  </si>
  <si>
    <t>H : V</t>
  </si>
  <si>
    <t>2.0 Input Values and Geometricial dimensions</t>
  </si>
  <si>
    <t>°</t>
  </si>
  <si>
    <t>Stem</t>
  </si>
  <si>
    <t>Toe</t>
  </si>
  <si>
    <t>Height above ground (h)</t>
  </si>
  <si>
    <r>
      <t>Depth Below G.L (d</t>
    </r>
    <r>
      <rPr>
        <vertAlign val="subscript"/>
        <sz val="11"/>
        <color indexed="8"/>
        <rFont val="Calibri"/>
        <family val="2"/>
      </rPr>
      <t>f</t>
    </r>
    <r>
      <rPr>
        <sz val="11"/>
        <color theme="1"/>
        <rFont val="Calibri"/>
        <family val="2"/>
        <scheme val="minor"/>
      </rPr>
      <t>)</t>
    </r>
  </si>
  <si>
    <t>Stem top thickness (st)</t>
  </si>
  <si>
    <r>
      <t>Stem batter Toe (sb</t>
    </r>
    <r>
      <rPr>
        <vertAlign val="subscript"/>
        <sz val="11"/>
        <color indexed="8"/>
        <rFont val="Calibri"/>
        <family val="2"/>
      </rPr>
      <t>t</t>
    </r>
    <r>
      <rPr>
        <sz val="11"/>
        <color theme="1"/>
        <rFont val="Calibri"/>
        <family val="2"/>
        <scheme val="minor"/>
      </rPr>
      <t>)</t>
    </r>
  </si>
  <si>
    <r>
      <t>Stem batter Heel (Sb</t>
    </r>
    <r>
      <rPr>
        <vertAlign val="subscript"/>
        <sz val="11"/>
        <color indexed="8"/>
        <rFont val="Calibri"/>
        <family val="2"/>
      </rPr>
      <t>h</t>
    </r>
    <r>
      <rPr>
        <sz val="11"/>
        <color theme="1"/>
        <rFont val="Calibri"/>
        <family val="2"/>
        <scheme val="minor"/>
      </rPr>
      <t>)</t>
    </r>
  </si>
  <si>
    <t>Stem Below G.L (zs)</t>
  </si>
  <si>
    <t>Toe Width (T)</t>
  </si>
  <si>
    <t>Heel Width (hl)</t>
  </si>
  <si>
    <t>Tip Thickness (tt)</t>
  </si>
  <si>
    <t>Thickness (bs)</t>
  </si>
  <si>
    <t>Total Base (B)</t>
  </si>
  <si>
    <t>Min.Soil Thickness (ms)</t>
  </si>
  <si>
    <t>Max. Soil Thickness (zs)</t>
  </si>
  <si>
    <t>Wedge No.</t>
  </si>
  <si>
    <t>Weight (kN)</t>
  </si>
  <si>
    <t>Moment (kNm)</t>
  </si>
  <si>
    <t>Stem Wall</t>
  </si>
  <si>
    <t>Base Slab</t>
  </si>
  <si>
    <t>Backfill Soil</t>
  </si>
  <si>
    <t>C.G (A) (m)</t>
  </si>
  <si>
    <r>
      <t>Weight W</t>
    </r>
    <r>
      <rPr>
        <vertAlign val="subscript"/>
        <sz val="11"/>
        <rFont val="Calibri"/>
        <family val="2"/>
      </rPr>
      <t>sag</t>
    </r>
    <r>
      <rPr>
        <sz val="11"/>
        <rFont val="Calibri"/>
        <family val="2"/>
      </rPr>
      <t>(kN)</t>
    </r>
  </si>
  <si>
    <r>
      <t>Moment M</t>
    </r>
    <r>
      <rPr>
        <vertAlign val="subscript"/>
        <sz val="11"/>
        <rFont val="Calibri"/>
        <family val="2"/>
      </rPr>
      <t>sag</t>
    </r>
    <r>
      <rPr>
        <sz val="11"/>
        <rFont val="Calibri"/>
        <family val="2"/>
      </rPr>
      <t xml:space="preserve"> (kNm)</t>
    </r>
  </si>
  <si>
    <t>C.G ( A) (m)</t>
  </si>
  <si>
    <t>Weight of Stem Above G.L</t>
  </si>
  <si>
    <t>Inertial Forces and Moment</t>
  </si>
  <si>
    <t>Pressure Forces and Moments</t>
  </si>
  <si>
    <t>External Live Load Surcharge</t>
  </si>
  <si>
    <t>Surcharge</t>
  </si>
  <si>
    <t xml:space="preserve">S </t>
  </si>
  <si>
    <r>
      <t>For height of (S</t>
    </r>
    <r>
      <rPr>
        <vertAlign val="subscript"/>
        <sz val="11"/>
        <rFont val="Calibri"/>
        <family val="2"/>
      </rPr>
      <t>h</t>
    </r>
    <r>
      <rPr>
        <sz val="11"/>
        <rFont val="Calibri"/>
        <family val="2"/>
      </rPr>
      <t>)</t>
    </r>
  </si>
  <si>
    <r>
      <t>Rankine Earth Pressure Coefficient Ka</t>
    </r>
    <r>
      <rPr>
        <i/>
        <vertAlign val="subscript"/>
        <sz val="11"/>
        <color indexed="8"/>
        <rFont val="Calibri"/>
        <family val="2"/>
      </rPr>
      <t xml:space="preserve">Rankine </t>
    </r>
    <r>
      <rPr>
        <i/>
        <sz val="11"/>
        <color indexed="8"/>
        <rFont val="Calibri"/>
        <family val="2"/>
      </rPr>
      <t xml:space="preserve">   </t>
    </r>
  </si>
  <si>
    <t>Derivatives From IS 1893 : 1984 Seismic Coefficient Method</t>
  </si>
  <si>
    <r>
      <t>Horizontal Seismic Coefficient (</t>
    </r>
    <r>
      <rPr>
        <sz val="11"/>
        <rFont val="Symbol"/>
        <family val="1"/>
        <charset val="2"/>
      </rPr>
      <t>a</t>
    </r>
    <r>
      <rPr>
        <vertAlign val="subscript"/>
        <sz val="11"/>
        <rFont val="Times New Roman"/>
        <family val="1"/>
      </rPr>
      <t>h</t>
    </r>
    <r>
      <rPr>
        <sz val="11"/>
        <rFont val="Times New Roman"/>
        <family val="1"/>
      </rPr>
      <t>)</t>
    </r>
  </si>
  <si>
    <r>
      <t>Vertical Seismic Coefficient (</t>
    </r>
    <r>
      <rPr>
        <sz val="11"/>
        <rFont val="Symbol"/>
        <family val="1"/>
        <charset val="2"/>
      </rPr>
      <t>a</t>
    </r>
    <r>
      <rPr>
        <vertAlign val="subscript"/>
        <sz val="11"/>
        <rFont val="Times New Roman"/>
        <family val="1"/>
      </rPr>
      <t>v</t>
    </r>
    <r>
      <rPr>
        <sz val="11"/>
        <rFont val="Times New Roman"/>
        <family val="1"/>
      </rPr>
      <t>)</t>
    </r>
  </si>
  <si>
    <r>
      <rPr>
        <sz val="11"/>
        <color indexed="8"/>
        <rFont val="Symbol"/>
        <family val="1"/>
        <charset val="2"/>
      </rPr>
      <t>a</t>
    </r>
    <r>
      <rPr>
        <vertAlign val="subscript"/>
        <sz val="11"/>
        <color indexed="8"/>
        <rFont val="Calibri"/>
        <family val="2"/>
      </rPr>
      <t>h</t>
    </r>
    <r>
      <rPr>
        <sz val="11"/>
        <color theme="1"/>
        <rFont val="Calibri"/>
        <family val="2"/>
        <scheme val="minor"/>
      </rPr>
      <t>/2</t>
    </r>
  </si>
  <si>
    <t>=</t>
  </si>
  <si>
    <t>l 1 ,</t>
  </si>
  <si>
    <t>l 2    =</t>
  </si>
  <si>
    <r>
      <t>Earth Pressure Coefficient Ca</t>
    </r>
    <r>
      <rPr>
        <i/>
        <vertAlign val="subscript"/>
        <sz val="11"/>
        <color indexed="8"/>
        <rFont val="Calibri"/>
        <family val="2"/>
      </rPr>
      <t>dynamic</t>
    </r>
  </si>
  <si>
    <r>
      <t>Stem heel batter angle (</t>
    </r>
    <r>
      <rPr>
        <sz val="11"/>
        <color indexed="8"/>
        <rFont val="Symbol"/>
        <family val="1"/>
        <charset val="2"/>
      </rPr>
      <t>a)</t>
    </r>
  </si>
  <si>
    <r>
      <t>Stem top vertical angle (</t>
    </r>
    <r>
      <rPr>
        <sz val="11"/>
        <color indexed="8"/>
        <rFont val="Symbol"/>
        <family val="1"/>
        <charset val="2"/>
      </rPr>
      <t>q</t>
    </r>
    <r>
      <rPr>
        <sz val="11"/>
        <color theme="1"/>
        <rFont val="Calibri"/>
        <family val="2"/>
        <scheme val="minor"/>
      </rPr>
      <t>)</t>
    </r>
  </si>
  <si>
    <r>
      <t xml:space="preserve">For Stability Analysis </t>
    </r>
    <r>
      <rPr>
        <sz val="11"/>
        <color indexed="8"/>
        <rFont val="Symbol"/>
        <family val="1"/>
        <charset val="2"/>
      </rPr>
      <t>a =</t>
    </r>
  </si>
  <si>
    <r>
      <t xml:space="preserve">For Stability Analysis </t>
    </r>
    <r>
      <rPr>
        <sz val="11"/>
        <color indexed="8"/>
        <rFont val="Symbol"/>
        <family val="1"/>
        <charset val="2"/>
      </rPr>
      <t>d =</t>
    </r>
  </si>
  <si>
    <r>
      <t>Ca</t>
    </r>
    <r>
      <rPr>
        <vertAlign val="subscript"/>
        <sz val="11"/>
        <color indexed="8"/>
        <rFont val="Calibri"/>
        <family val="2"/>
      </rPr>
      <t>dynamic</t>
    </r>
  </si>
  <si>
    <t>Spectral Acceleration is Down</t>
  </si>
  <si>
    <t>Spectral Acceleration is UP</t>
  </si>
  <si>
    <r>
      <t>Ca</t>
    </r>
    <r>
      <rPr>
        <vertAlign val="subscript"/>
        <sz val="11"/>
        <color indexed="8"/>
        <rFont val="Calibri"/>
        <family val="2"/>
      </rPr>
      <t>static</t>
    </r>
  </si>
  <si>
    <r>
      <t xml:space="preserve">Value by Putting </t>
    </r>
    <r>
      <rPr>
        <sz val="11"/>
        <color indexed="8"/>
        <rFont val="Symbol"/>
        <family val="1"/>
        <charset val="2"/>
      </rPr>
      <t>l</t>
    </r>
    <r>
      <rPr>
        <sz val="11"/>
        <color theme="1"/>
        <rFont val="Calibri"/>
        <family val="2"/>
        <scheme val="minor"/>
      </rPr>
      <t>,</t>
    </r>
    <r>
      <rPr>
        <sz val="11"/>
        <color indexed="8"/>
        <rFont val="Symbol"/>
        <family val="1"/>
        <charset val="2"/>
      </rPr>
      <t>a</t>
    </r>
    <r>
      <rPr>
        <vertAlign val="subscript"/>
        <sz val="11"/>
        <color indexed="8"/>
        <rFont val="Calibri"/>
        <family val="2"/>
      </rPr>
      <t>v</t>
    </r>
    <r>
      <rPr>
        <sz val="11"/>
        <color theme="1"/>
        <rFont val="Calibri"/>
        <family val="2"/>
        <scheme val="minor"/>
      </rPr>
      <t>,</t>
    </r>
    <r>
      <rPr>
        <sz val="11"/>
        <color indexed="8"/>
        <rFont val="Symbol"/>
        <family val="1"/>
        <charset val="2"/>
      </rPr>
      <t>a</t>
    </r>
    <r>
      <rPr>
        <vertAlign val="subscript"/>
        <sz val="11"/>
        <color indexed="8"/>
        <rFont val="Calibri"/>
        <family val="2"/>
      </rPr>
      <t>h</t>
    </r>
    <r>
      <rPr>
        <sz val="11"/>
        <color theme="1"/>
        <rFont val="Calibri"/>
        <family val="2"/>
        <scheme val="minor"/>
      </rPr>
      <t xml:space="preserve"> = 0</t>
    </r>
  </si>
  <si>
    <r>
      <t>Dynamic Incriment k</t>
    </r>
    <r>
      <rPr>
        <vertAlign val="subscript"/>
        <sz val="11"/>
        <color indexed="8"/>
        <rFont val="Calibri"/>
        <family val="2"/>
      </rPr>
      <t xml:space="preserve">i </t>
    </r>
    <r>
      <rPr>
        <sz val="11"/>
        <color theme="1"/>
        <rFont val="Calibri"/>
        <family val="2"/>
        <scheme val="minor"/>
      </rPr>
      <t xml:space="preserve"> =</t>
    </r>
  </si>
  <si>
    <r>
      <t>Dynamic Incriment k</t>
    </r>
    <r>
      <rPr>
        <vertAlign val="subscript"/>
        <sz val="11"/>
        <color indexed="8"/>
        <rFont val="Calibri"/>
        <family val="2"/>
      </rPr>
      <t>i</t>
    </r>
    <r>
      <rPr>
        <sz val="11"/>
        <color theme="1"/>
        <rFont val="Calibri"/>
        <family val="2"/>
        <scheme val="minor"/>
      </rPr>
      <t xml:space="preserve">  =</t>
    </r>
  </si>
  <si>
    <t>Spectral Acceleration is Down (max so adopted)</t>
  </si>
  <si>
    <t>Increase/decrease in Net acceleration :</t>
  </si>
  <si>
    <t>Increase/Decrease In stem Weight =</t>
  </si>
  <si>
    <t>kN</t>
  </si>
  <si>
    <t>Normal Case</t>
  </si>
  <si>
    <r>
      <rPr>
        <sz val="11"/>
        <color indexed="8"/>
        <rFont val="Symbol"/>
        <family val="1"/>
        <charset val="2"/>
      </rPr>
      <t>S</t>
    </r>
    <r>
      <rPr>
        <sz val="14.3"/>
        <color indexed="8"/>
        <rFont val="Calibri"/>
        <family val="2"/>
      </rPr>
      <t xml:space="preserve"> W =</t>
    </r>
  </si>
  <si>
    <r>
      <rPr>
        <sz val="11"/>
        <color indexed="8"/>
        <rFont val="Symbol"/>
        <family val="1"/>
        <charset val="2"/>
      </rPr>
      <t>S</t>
    </r>
    <r>
      <rPr>
        <sz val="14.3"/>
        <color indexed="8"/>
        <rFont val="Calibri"/>
        <family val="2"/>
      </rPr>
      <t xml:space="preserve"> M =</t>
    </r>
  </si>
  <si>
    <t>kNm</t>
  </si>
  <si>
    <r>
      <rPr>
        <sz val="11"/>
        <color indexed="8"/>
        <rFont val="Symbol"/>
        <family val="1"/>
        <charset val="2"/>
      </rPr>
      <t>S</t>
    </r>
    <r>
      <rPr>
        <sz val="14.3"/>
        <color indexed="8"/>
        <rFont val="Calibri"/>
        <family val="2"/>
      </rPr>
      <t xml:space="preserve"> V =</t>
    </r>
  </si>
  <si>
    <r>
      <rPr>
        <sz val="11"/>
        <color indexed="8"/>
        <rFont val="Symbol"/>
        <family val="1"/>
        <charset val="2"/>
      </rPr>
      <t>S</t>
    </r>
    <r>
      <rPr>
        <sz val="14.3"/>
        <color indexed="8"/>
        <rFont val="Calibri"/>
        <family val="2"/>
      </rPr>
      <t xml:space="preserve"> H =</t>
    </r>
  </si>
  <si>
    <t>Safety Factor</t>
  </si>
  <si>
    <r>
      <rPr>
        <sz val="11"/>
        <color indexed="8"/>
        <rFont val="Symbol"/>
        <family val="1"/>
        <charset val="2"/>
      </rPr>
      <t>S</t>
    </r>
    <r>
      <rPr>
        <sz val="14.3"/>
        <color indexed="8"/>
        <rFont val="Calibri"/>
        <family val="2"/>
      </rPr>
      <t xml:space="preserve"> M</t>
    </r>
    <r>
      <rPr>
        <vertAlign val="subscript"/>
        <sz val="14.3"/>
        <color indexed="8"/>
        <rFont val="Calibri"/>
        <family val="2"/>
      </rPr>
      <t xml:space="preserve">s </t>
    </r>
    <r>
      <rPr>
        <sz val="14.3"/>
        <color indexed="8"/>
        <rFont val="Calibri"/>
        <family val="2"/>
      </rPr>
      <t>=</t>
    </r>
  </si>
  <si>
    <t>Seismic Case</t>
  </si>
  <si>
    <t>Increase/Decrease inertial Pressure =</t>
  </si>
  <si>
    <t>X</t>
  </si>
  <si>
    <t>e</t>
  </si>
  <si>
    <r>
      <t>kN/m</t>
    </r>
    <r>
      <rPr>
        <vertAlign val="superscript"/>
        <sz val="11"/>
        <rFont val="Calibri"/>
        <family val="2"/>
      </rPr>
      <t>2</t>
    </r>
  </si>
  <si>
    <t>Concrete and Steel Eleastic Design parameters</t>
  </si>
  <si>
    <t>modular Ratio</t>
  </si>
  <si>
    <t>Netural-axis depth coefficient (n)</t>
  </si>
  <si>
    <t>Lever arm Coefficient (j)</t>
  </si>
  <si>
    <t>Moment of Resistance coefficient (k)</t>
  </si>
  <si>
    <t>Comparision</t>
  </si>
  <si>
    <t xml:space="preserve">Static </t>
  </si>
  <si>
    <t>Weight</t>
  </si>
  <si>
    <r>
      <t>Seismic (</t>
    </r>
    <r>
      <rPr>
        <sz val="11"/>
        <color indexed="8"/>
        <rFont val="Symbol"/>
        <family val="1"/>
        <charset val="2"/>
      </rPr>
      <t>a</t>
    </r>
    <r>
      <rPr>
        <vertAlign val="subscript"/>
        <sz val="11"/>
        <color indexed="8"/>
        <rFont val="Calibri"/>
        <family val="2"/>
      </rPr>
      <t xml:space="preserve">v </t>
    </r>
    <r>
      <rPr>
        <sz val="11"/>
        <color theme="1"/>
        <rFont val="Calibri"/>
        <family val="2"/>
        <scheme val="minor"/>
      </rPr>
      <t>Down)</t>
    </r>
  </si>
  <si>
    <r>
      <t>Seismic (</t>
    </r>
    <r>
      <rPr>
        <sz val="11"/>
        <color indexed="8"/>
        <rFont val="Symbol"/>
        <family val="1"/>
        <charset val="2"/>
      </rPr>
      <t>a</t>
    </r>
    <r>
      <rPr>
        <vertAlign val="subscript"/>
        <sz val="11"/>
        <color indexed="8"/>
        <rFont val="Calibri"/>
        <family val="2"/>
      </rPr>
      <t xml:space="preserve">v </t>
    </r>
    <r>
      <rPr>
        <sz val="11"/>
        <color theme="1"/>
        <rFont val="Calibri"/>
        <family val="2"/>
        <scheme val="minor"/>
      </rPr>
      <t>Up)</t>
    </r>
  </si>
  <si>
    <t>% Change</t>
  </si>
  <si>
    <t>Non Seismic Design (Each Part as Cantilever beam)</t>
  </si>
  <si>
    <t>Coulomb's active Earth Pressure (Ca)</t>
  </si>
  <si>
    <t>on Stem =</t>
  </si>
  <si>
    <t>Ca =</t>
  </si>
  <si>
    <t>Till 1-1</t>
  </si>
  <si>
    <t>Till 2-2</t>
  </si>
  <si>
    <t>Pressure (kN/m)</t>
  </si>
  <si>
    <t>Till Base</t>
  </si>
  <si>
    <t>Thickness Req. (mm)</t>
  </si>
  <si>
    <t>Thickness Prov. (mm)</t>
  </si>
  <si>
    <r>
      <t>Ast Req. (mm</t>
    </r>
    <r>
      <rPr>
        <vertAlign val="superscript"/>
        <sz val="10"/>
        <color indexed="8"/>
        <rFont val="Calibri"/>
        <family val="2"/>
      </rPr>
      <t>2</t>
    </r>
    <r>
      <rPr>
        <sz val="10"/>
        <color indexed="8"/>
        <rFont val="Calibri"/>
        <family val="2"/>
      </rPr>
      <t>)</t>
    </r>
  </si>
  <si>
    <t>Near top</t>
  </si>
  <si>
    <t>Middle</t>
  </si>
  <si>
    <t>Stem cover</t>
  </si>
  <si>
    <t>Stem Steel dia</t>
  </si>
  <si>
    <t>Spacing (mm c/c)</t>
  </si>
  <si>
    <t>bottom</t>
  </si>
  <si>
    <t>Remarks</t>
  </si>
  <si>
    <t>Spacing Req</t>
  </si>
  <si>
    <t>Spacing Provide</t>
  </si>
  <si>
    <r>
      <t>Ast Prov. (mm</t>
    </r>
    <r>
      <rPr>
        <vertAlign val="superscript"/>
        <sz val="10"/>
        <color indexed="8"/>
        <rFont val="Calibri"/>
        <family val="2"/>
      </rPr>
      <t>2</t>
    </r>
    <r>
      <rPr>
        <sz val="10"/>
        <color indexed="8"/>
        <rFont val="Calibri"/>
        <family val="2"/>
      </rPr>
      <t>)</t>
    </r>
  </si>
  <si>
    <t>Depth Netural axis From Top Compression Fibre</t>
  </si>
  <si>
    <t>mm</t>
  </si>
  <si>
    <t>Design of Stem Wall</t>
  </si>
  <si>
    <t xml:space="preserve">Design of Heel Slab </t>
  </si>
  <si>
    <t xml:space="preserve">At Base </t>
  </si>
  <si>
    <t>Moment1 (kNm)</t>
  </si>
  <si>
    <t>Moment2 (kNm)</t>
  </si>
  <si>
    <t>Net Moment(kNm)</t>
  </si>
  <si>
    <t>Design of Toe Slab</t>
  </si>
  <si>
    <t>Seismic Design (Each Part as Cantilever beam)</t>
  </si>
  <si>
    <t>Heel Slab</t>
  </si>
  <si>
    <t>Cover st</t>
  </si>
  <si>
    <t>Cover tp</t>
  </si>
  <si>
    <t>Toe Slab</t>
  </si>
  <si>
    <r>
      <t>Compressive Stress in Concrete (N/mm</t>
    </r>
    <r>
      <rPr>
        <vertAlign val="superscript"/>
        <sz val="11"/>
        <rFont val="Calibri"/>
        <family val="2"/>
      </rPr>
      <t>2</t>
    </r>
    <r>
      <rPr>
        <sz val="11"/>
        <rFont val="Calibri"/>
        <family val="2"/>
      </rPr>
      <t>)</t>
    </r>
  </si>
  <si>
    <r>
      <t>Tensile Stress in Steel (N/mm</t>
    </r>
    <r>
      <rPr>
        <vertAlign val="superscript"/>
        <sz val="11"/>
        <rFont val="Calibri"/>
        <family val="2"/>
      </rPr>
      <t>2</t>
    </r>
    <r>
      <rPr>
        <sz val="11"/>
        <rFont val="Calibri"/>
        <family val="2"/>
      </rPr>
      <t>)</t>
    </r>
  </si>
  <si>
    <t>H. Comp. (kN)</t>
  </si>
  <si>
    <r>
      <t>P</t>
    </r>
    <r>
      <rPr>
        <vertAlign val="subscript"/>
        <sz val="10"/>
        <color indexed="8"/>
        <rFont val="Calibri"/>
        <family val="2"/>
      </rPr>
      <t>live</t>
    </r>
    <r>
      <rPr>
        <sz val="10"/>
        <color indexed="8"/>
        <rFont val="Calibri"/>
        <family val="2"/>
      </rPr>
      <t xml:space="preserve"> (kN)</t>
    </r>
  </si>
  <si>
    <r>
      <t>P</t>
    </r>
    <r>
      <rPr>
        <vertAlign val="subscript"/>
        <sz val="10"/>
        <color indexed="8"/>
        <rFont val="Calibri"/>
        <family val="2"/>
      </rPr>
      <t>soil</t>
    </r>
    <r>
      <rPr>
        <sz val="10"/>
        <color indexed="8"/>
        <rFont val="Calibri"/>
        <family val="2"/>
      </rPr>
      <t xml:space="preserve"> (kN)</t>
    </r>
  </si>
  <si>
    <t>Static</t>
  </si>
  <si>
    <t>Dynamic</t>
  </si>
  <si>
    <r>
      <t>Angle of Internal Friction (</t>
    </r>
    <r>
      <rPr>
        <sz val="11"/>
        <rFont val="Symbol"/>
        <family val="1"/>
        <charset val="2"/>
      </rPr>
      <t>f</t>
    </r>
    <r>
      <rPr>
        <sz val="11"/>
        <rFont val="Calibri"/>
        <family val="2"/>
      </rPr>
      <t>)</t>
    </r>
  </si>
  <si>
    <r>
      <t>Bulk density of soil (</t>
    </r>
    <r>
      <rPr>
        <sz val="11"/>
        <rFont val="Symbol"/>
        <family val="1"/>
        <charset val="2"/>
      </rPr>
      <t>g</t>
    </r>
    <r>
      <rPr>
        <sz val="11"/>
        <rFont val="Calibri"/>
        <family val="2"/>
      </rPr>
      <t>)</t>
    </r>
  </si>
  <si>
    <r>
      <t>Angle of Wall Friction (</t>
    </r>
    <r>
      <rPr>
        <sz val="11"/>
        <rFont val="Symbol"/>
        <family val="1"/>
        <charset val="2"/>
      </rPr>
      <t>d</t>
    </r>
    <r>
      <rPr>
        <sz val="11"/>
        <rFont val="Calibri"/>
        <family val="2"/>
      </rPr>
      <t>)</t>
    </r>
  </si>
  <si>
    <t>3.0 Forces in Equilibrium</t>
  </si>
  <si>
    <t>4.0 Analysis</t>
  </si>
  <si>
    <t>5.0 Design (Working Stress Method)</t>
  </si>
  <si>
    <t>Seismic Coefficients IRC 6:2000</t>
  </si>
  <si>
    <t>Sliding</t>
  </si>
  <si>
    <t>Overturning</t>
  </si>
  <si>
    <t>Spacing</t>
  </si>
  <si>
    <t>Dist. Reinf.</t>
  </si>
  <si>
    <t>Temp Reinf</t>
  </si>
  <si>
    <t>Stem (top)</t>
  </si>
  <si>
    <t>Bottom</t>
  </si>
  <si>
    <t>Heel (edge)</t>
  </si>
  <si>
    <t>stem base</t>
  </si>
  <si>
    <t>Main Reinf. (mm)</t>
  </si>
  <si>
    <t>M20</t>
  </si>
  <si>
    <t>M25</t>
  </si>
  <si>
    <t>M30</t>
  </si>
  <si>
    <t>M35</t>
  </si>
  <si>
    <t>M40</t>
  </si>
  <si>
    <t>% Ast</t>
  </si>
  <si>
    <t>Shear Value</t>
  </si>
  <si>
    <t>Stress</t>
  </si>
  <si>
    <t>%</t>
  </si>
  <si>
    <r>
      <t>Shear stress (N/mm</t>
    </r>
    <r>
      <rPr>
        <vertAlign val="superscript"/>
        <sz val="10"/>
        <color indexed="8"/>
        <rFont val="Calibri"/>
        <family val="2"/>
      </rPr>
      <t>2</t>
    </r>
    <r>
      <rPr>
        <sz val="10"/>
        <color indexed="8"/>
        <rFont val="Calibri"/>
        <family val="2"/>
      </rPr>
      <t>)</t>
    </r>
  </si>
  <si>
    <t>Rough Work</t>
  </si>
  <si>
    <t>Steel %</t>
  </si>
  <si>
    <r>
      <t>Permit Shear (N/mm</t>
    </r>
    <r>
      <rPr>
        <vertAlign val="superscript"/>
        <sz val="10"/>
        <color indexed="8"/>
        <rFont val="Calibri"/>
        <family val="2"/>
      </rPr>
      <t>2</t>
    </r>
    <r>
      <rPr>
        <sz val="10"/>
        <color indexed="8"/>
        <rFont val="Calibri"/>
        <family val="2"/>
      </rPr>
      <t>)</t>
    </r>
  </si>
  <si>
    <t>Soil Pressure</t>
  </si>
  <si>
    <t>Sign Conventions</t>
  </si>
  <si>
    <t>Downward Forces +ve</t>
  </si>
  <si>
    <t>Upward Forces -ve</t>
  </si>
  <si>
    <t>Forces</t>
  </si>
  <si>
    <t>Moment</t>
  </si>
  <si>
    <t>Clockwise Moment +ve</t>
  </si>
  <si>
    <t>Anticlockwise -ve</t>
  </si>
  <si>
    <t>FOS OT</t>
  </si>
  <si>
    <t>FOS SLID</t>
  </si>
  <si>
    <t>Vertical</t>
  </si>
  <si>
    <t>Soil</t>
  </si>
  <si>
    <t>Live</t>
  </si>
  <si>
    <t>Pressure at stem base(kN/m)</t>
  </si>
  <si>
    <t>-</t>
  </si>
  <si>
    <t>stem width</t>
  </si>
  <si>
    <t>effective stem width</t>
  </si>
  <si>
    <t>stem height</t>
  </si>
  <si>
    <t>Height for shear</t>
  </si>
  <si>
    <t>stem width at shear</t>
  </si>
  <si>
    <r>
      <t>P</t>
    </r>
    <r>
      <rPr>
        <vertAlign val="subscript"/>
        <sz val="11"/>
        <color indexed="8"/>
        <rFont val="Calibri"/>
        <family val="2"/>
      </rPr>
      <t>max</t>
    </r>
  </si>
  <si>
    <r>
      <t>P</t>
    </r>
    <r>
      <rPr>
        <vertAlign val="subscript"/>
        <sz val="11"/>
        <color indexed="8"/>
        <rFont val="Calibri"/>
        <family val="2"/>
      </rPr>
      <t>min</t>
    </r>
  </si>
  <si>
    <t>effective width 1-1</t>
  </si>
  <si>
    <t>length remain</t>
  </si>
  <si>
    <t>surcharge</t>
  </si>
  <si>
    <t>Trap Soil</t>
  </si>
  <si>
    <t>Concrete</t>
  </si>
  <si>
    <t>Soil P</t>
  </si>
  <si>
    <t>trap thick (m)</t>
  </si>
  <si>
    <t>Pressure area</t>
  </si>
  <si>
    <t>Net Force</t>
  </si>
  <si>
    <t xml:space="preserve">effective width  </t>
  </si>
  <si>
    <t>Base Angle heel</t>
  </si>
  <si>
    <t>Base Angle toe</t>
  </si>
  <si>
    <t xml:space="preserve">effective width </t>
  </si>
  <si>
    <t>Soil (i)</t>
  </si>
  <si>
    <t>Live (i)</t>
  </si>
  <si>
    <t>Cover (m)</t>
  </si>
  <si>
    <t>Length</t>
  </si>
  <si>
    <t>qty / 10m</t>
  </si>
  <si>
    <t>Dia (mm)</t>
  </si>
  <si>
    <t>No.</t>
  </si>
  <si>
    <t>S.No.</t>
  </si>
  <si>
    <t>Main Reinforcement / 10 m Length</t>
  </si>
  <si>
    <t>Main</t>
  </si>
  <si>
    <t>Secondary</t>
  </si>
  <si>
    <t>wt. / 10 m</t>
  </si>
  <si>
    <r>
      <t>Qty of R.C.C Used (m</t>
    </r>
    <r>
      <rPr>
        <vertAlign val="superscript"/>
        <sz val="10"/>
        <color indexed="8"/>
        <rFont val="Calibri"/>
        <family val="2"/>
      </rPr>
      <t>3</t>
    </r>
    <r>
      <rPr>
        <sz val="10"/>
        <color indexed="8"/>
        <rFont val="Calibri"/>
        <family val="2"/>
      </rPr>
      <t>)</t>
    </r>
  </si>
  <si>
    <t>qty of Steel Used (kg)</t>
  </si>
  <si>
    <r>
      <t>Area (m</t>
    </r>
    <r>
      <rPr>
        <vertAlign val="superscript"/>
        <sz val="10"/>
        <color indexed="9"/>
        <rFont val="Calibri"/>
        <family val="2"/>
      </rPr>
      <t>2</t>
    </r>
    <r>
      <rPr>
        <sz val="10"/>
        <color indexed="9"/>
        <rFont val="Calibri"/>
        <family val="2"/>
      </rPr>
      <t>)</t>
    </r>
  </si>
  <si>
    <t>a1</t>
  </si>
  <si>
    <t>b1+b2+b3</t>
  </si>
  <si>
    <t>b+b2+b3</t>
  </si>
  <si>
    <t>c</t>
  </si>
  <si>
    <t>d</t>
  </si>
  <si>
    <t>f</t>
  </si>
  <si>
    <t>a1+a2+a3</t>
  </si>
  <si>
    <t xml:space="preserve">a1+a2 </t>
  </si>
  <si>
    <t>a1+a2</t>
  </si>
  <si>
    <t>STEM MAIN REINFORCEMNET</t>
  </si>
  <si>
    <t>HEEL MAIN REINFORCEMENT</t>
  </si>
  <si>
    <t>TOE MAIN REINFORCEMENT</t>
  </si>
  <si>
    <t>STEM DISTRIBUTION &amp;</t>
  </si>
  <si>
    <t xml:space="preserve"> TEMPERATURE REINFORCEMENT</t>
  </si>
  <si>
    <t>HEEL DIST. &amp; TEMP REINF.</t>
  </si>
  <si>
    <t>TOE DIST. &amp; TEMP REINF.</t>
  </si>
  <si>
    <t>g</t>
  </si>
  <si>
    <t>h+(T+sb)/2</t>
  </si>
  <si>
    <t>I+b3+b2/2</t>
  </si>
  <si>
    <t>Mtan b/d</t>
  </si>
  <si>
    <t>M tan b/ d</t>
  </si>
  <si>
    <t>Distribution Steel Provided %</t>
  </si>
  <si>
    <t>Temperature Steel Provided %</t>
  </si>
  <si>
    <t>Heel</t>
  </si>
  <si>
    <t>Concrete grade</t>
  </si>
  <si>
    <t>Bar Grade</t>
  </si>
  <si>
    <t xml:space="preserve">Bonding </t>
  </si>
  <si>
    <t>Zone I</t>
  </si>
  <si>
    <t>(favour)</t>
  </si>
  <si>
    <t>Zone II</t>
  </si>
  <si>
    <t>(Against)</t>
  </si>
  <si>
    <t>Fe 500</t>
  </si>
  <si>
    <t>Fe 415</t>
  </si>
  <si>
    <t>Fe 250</t>
  </si>
  <si>
    <t>Stem %</t>
  </si>
  <si>
    <t>Heel %</t>
  </si>
  <si>
    <t>Toe %</t>
  </si>
  <si>
    <t>Reinforcement Chart</t>
  </si>
  <si>
    <t xml:space="preserve">Normal </t>
  </si>
  <si>
    <t>Seismic</t>
  </si>
  <si>
    <t>Vertical Stem height</t>
  </si>
  <si>
    <t>Total Vertical Wall height (H)</t>
  </si>
  <si>
    <r>
      <t>L</t>
    </r>
    <r>
      <rPr>
        <vertAlign val="subscript"/>
        <sz val="11"/>
        <color theme="1"/>
        <rFont val="Calibri"/>
        <family val="2"/>
        <scheme val="minor"/>
      </rPr>
      <t>development</t>
    </r>
  </si>
  <si>
    <t>Part</t>
  </si>
  <si>
    <t>I</t>
  </si>
  <si>
    <r>
      <t>kN/m</t>
    </r>
    <r>
      <rPr>
        <vertAlign val="superscript"/>
        <sz val="11"/>
        <rFont val="Calibri"/>
        <family val="2"/>
      </rPr>
      <t>3</t>
    </r>
  </si>
  <si>
    <t>Prepared By 
Harjot Singh</t>
  </si>
  <si>
    <t>Reviewed by</t>
  </si>
  <si>
    <t>Reviewed On</t>
  </si>
  <si>
    <t>Rev R0</t>
  </si>
  <si>
    <t>How to Use:</t>
  </si>
  <si>
    <t>1. Navigate to the input worksheet and enter values in the Orange cells.</t>
  </si>
  <si>
    <t xml:space="preserve">2. Review the calculated outputs </t>
  </si>
  <si>
    <t>4. Do not modify locked/protected cells to ensure formulas remain intact.</t>
  </si>
  <si>
    <t>5. Cells - Prepared by, Reviewed by, Reviewed dates, Revision and Document no are editable</t>
  </si>
  <si>
    <t>Disclaimer:</t>
  </si>
  <si>
    <t>This tool is provided by HNR Associates for educational and reference purposes only. Users must validate outputs against the latest standards and project requirements. HNR Associates is not responsible for any misuse or misinterpretation of the results.</t>
  </si>
  <si>
    <t>HNR Associates Engineering Resource
Resource Title:: 
Design of Cantilever Type Retaining Wall with Horizontal backfill</t>
  </si>
  <si>
    <t>B. N Sinha</t>
  </si>
  <si>
    <t>Document - DDischarge_Gen04</t>
  </si>
  <si>
    <t>3. Cross-check results with relevant standards before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</si>
</sst>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
    <numFmt numFmtId="167" formatCode="0.00000"/>
    <numFmt numFmtId="168" formatCode="0.0000000"/>
  </numFmts>
  <fonts count="47" x14ac:knownFonts="1">
    <font>
      <sz val="11"/>
      <color theme="1"/>
      <name val="Calibri"/>
      <family val="2"/>
      <scheme val="minor"/>
    </font>
    <font>
      <sz val="11"/>
      <color indexed="10"/>
      <name val="Calibri"/>
      <family val="2"/>
    </font>
    <font>
      <i/>
      <sz val="11"/>
      <color indexed="8"/>
      <name val="Calibri"/>
      <family val="2"/>
    </font>
    <font>
      <sz val="11"/>
      <name val="Calibri"/>
      <family val="2"/>
    </font>
    <font>
      <u/>
      <sz val="11"/>
      <color indexed="8"/>
      <name val="Calibri"/>
      <family val="2"/>
    </font>
    <font>
      <vertAlign val="subscript"/>
      <sz val="11"/>
      <name val="Calibri"/>
      <family val="2"/>
    </font>
    <font>
      <vertAlign val="subscript"/>
      <sz val="11"/>
      <color indexed="8"/>
      <name val="Calibri"/>
      <family val="2"/>
    </font>
    <font>
      <sz val="11"/>
      <color indexed="8"/>
      <name val="Symbol"/>
      <family val="1"/>
      <charset val="2"/>
    </font>
    <font>
      <sz val="9"/>
      <color indexed="8"/>
      <name val="Calibri"/>
      <family val="2"/>
    </font>
    <font>
      <b/>
      <sz val="11"/>
      <name val="Calibri"/>
      <family val="2"/>
    </font>
    <font>
      <sz val="11"/>
      <name val="Arial"/>
      <family val="2"/>
    </font>
    <font>
      <b/>
      <sz val="11"/>
      <name val="Arial"/>
      <family val="2"/>
    </font>
    <font>
      <i/>
      <sz val="11"/>
      <color indexed="8"/>
      <name val="Calibri"/>
      <family val="2"/>
    </font>
    <font>
      <i/>
      <vertAlign val="subscript"/>
      <sz val="11"/>
      <color indexed="8"/>
      <name val="Calibri"/>
      <family val="2"/>
    </font>
    <font>
      <sz val="11"/>
      <name val="Times New Roman"/>
      <family val="1"/>
    </font>
    <font>
      <sz val="11"/>
      <name val="Symbol"/>
      <family val="1"/>
      <charset val="2"/>
    </font>
    <font>
      <vertAlign val="subscript"/>
      <sz val="11"/>
      <name val="Times New Roman"/>
      <family val="1"/>
    </font>
    <font>
      <b/>
      <sz val="11"/>
      <color indexed="8"/>
      <name val="Calibri"/>
      <family val="2"/>
    </font>
    <font>
      <sz val="11"/>
      <color indexed="8"/>
      <name val="Calibri"/>
      <family val="2"/>
    </font>
    <font>
      <sz val="14.3"/>
      <color indexed="8"/>
      <name val="Calibri"/>
      <family val="2"/>
    </font>
    <font>
      <vertAlign val="subscript"/>
      <sz val="14.3"/>
      <color indexed="8"/>
      <name val="Calibri"/>
      <family val="2"/>
    </font>
    <font>
      <vertAlign val="superscript"/>
      <sz val="11"/>
      <name val="Calibri"/>
      <family val="2"/>
    </font>
    <font>
      <b/>
      <sz val="10"/>
      <color indexed="56"/>
      <name val="Calibri"/>
      <family val="2"/>
    </font>
    <font>
      <sz val="10"/>
      <color indexed="8"/>
      <name val="Calibri"/>
      <family val="2"/>
    </font>
    <font>
      <sz val="10"/>
      <name val="Arial"/>
      <family val="2"/>
    </font>
    <font>
      <sz val="11"/>
      <color indexed="8"/>
      <name val="Calibri"/>
      <family val="2"/>
    </font>
    <font>
      <sz val="11"/>
      <color indexed="36"/>
      <name val="Calibri"/>
      <family val="2"/>
    </font>
    <font>
      <i/>
      <sz val="11"/>
      <name val="Calibri"/>
      <family val="2"/>
    </font>
    <font>
      <vertAlign val="superscript"/>
      <sz val="10"/>
      <color indexed="8"/>
      <name val="Calibri"/>
      <family val="2"/>
    </font>
    <font>
      <vertAlign val="subscript"/>
      <sz val="10"/>
      <color indexed="8"/>
      <name val="Calibri"/>
      <family val="2"/>
    </font>
    <font>
      <u/>
      <sz val="11"/>
      <name val="Calibri"/>
      <family val="2"/>
    </font>
    <font>
      <sz val="11"/>
      <color indexed="8"/>
      <name val="Times New Roman"/>
      <family val="1"/>
    </font>
    <font>
      <i/>
      <u/>
      <sz val="11"/>
      <color indexed="8"/>
      <name val="Calibri"/>
      <family val="2"/>
    </font>
    <font>
      <b/>
      <sz val="11"/>
      <color indexed="8"/>
      <name val="Times New Roman"/>
      <family val="1"/>
    </font>
    <font>
      <sz val="11"/>
      <color indexed="20"/>
      <name val="Calibri"/>
      <family val="2"/>
    </font>
    <font>
      <sz val="8"/>
      <name val="Calibri"/>
      <family val="2"/>
    </font>
    <font>
      <sz val="6"/>
      <name val="Calibri"/>
      <family val="2"/>
    </font>
    <font>
      <sz val="11"/>
      <color indexed="9"/>
      <name val="Calibri"/>
      <family val="2"/>
    </font>
    <font>
      <sz val="10"/>
      <color indexed="9"/>
      <name val="Calibri"/>
      <family val="2"/>
    </font>
    <font>
      <vertAlign val="superscript"/>
      <sz val="10"/>
      <color indexed="9"/>
      <name val="Calibri"/>
      <family val="2"/>
    </font>
    <font>
      <sz val="10"/>
      <color indexed="10"/>
      <name val="Calibri"/>
      <family val="2"/>
    </font>
    <font>
      <vertAlign val="subscript"/>
      <sz val="11"/>
      <color theme="1"/>
      <name val="Calibri"/>
      <family val="2"/>
      <scheme val="minor"/>
    </font>
    <font>
      <i/>
      <sz val="11"/>
      <color theme="1"/>
      <name val="Calibri"/>
      <family val="2"/>
      <scheme val="minor"/>
    </font>
    <font>
      <sz val="1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s>
  <cellStyleXfs count="2">
    <xf numFmtId="0" fontId="0" fillId="0" borderId="0"/>
    <xf numFmtId="0" fontId="24" fillId="0" borderId="0"/>
  </cellStyleXfs>
  <cellXfs count="331">
    <xf numFmtId="0" fontId="0" fillId="0" borderId="0" xfId="0"/>
    <xf numFmtId="0" fontId="2" fillId="0" borderId="0" xfId="0" applyFont="1"/>
    <xf numFmtId="0" fontId="0" fillId="0" borderId="0" xfId="0" applyAlignment="1">
      <alignment horizontal="center"/>
    </xf>
    <xf numFmtId="0" fontId="3" fillId="0" borderId="0" xfId="0" applyFont="1"/>
    <xf numFmtId="0" fontId="4" fillId="0" borderId="0" xfId="0" applyFont="1"/>
    <xf numFmtId="2" fontId="0" fillId="0" borderId="0" xfId="0" applyNumberFormat="1"/>
    <xf numFmtId="0" fontId="0" fillId="0" borderId="0" xfId="0" applyAlignment="1">
      <alignment horizontal="left"/>
    </xf>
    <xf numFmtId="0" fontId="3" fillId="0" borderId="0" xfId="0" applyFont="1" applyAlignment="1">
      <alignment horizontal="center"/>
    </xf>
    <xf numFmtId="2" fontId="3" fillId="0" borderId="0" xfId="0" applyNumberFormat="1" applyFont="1" applyAlignment="1">
      <alignment horizontal="center"/>
    </xf>
    <xf numFmtId="164" fontId="0" fillId="0" borderId="0" xfId="0" applyNumberFormat="1"/>
    <xf numFmtId="2" fontId="10" fillId="0" borderId="0" xfId="0" applyNumberFormat="1" applyFont="1" applyAlignment="1">
      <alignment horizontal="left"/>
    </xf>
    <xf numFmtId="0" fontId="10" fillId="0" borderId="0" xfId="0" applyFont="1" applyAlignment="1">
      <alignment horizontal="center"/>
    </xf>
    <xf numFmtId="0" fontId="10" fillId="0" borderId="0" xfId="0" applyFont="1" applyAlignment="1">
      <alignment horizontal="left"/>
    </xf>
    <xf numFmtId="2" fontId="11" fillId="0" borderId="0" xfId="0" applyNumberFormat="1" applyFont="1" applyAlignment="1">
      <alignment horizontal="center"/>
    </xf>
    <xf numFmtId="0" fontId="12" fillId="0" borderId="0" xfId="0" applyFont="1"/>
    <xf numFmtId="164" fontId="0" fillId="0" borderId="0" xfId="0" applyNumberFormat="1" applyAlignment="1">
      <alignment horizontal="center"/>
    </xf>
    <xf numFmtId="0" fontId="14" fillId="0" borderId="0" xfId="0" applyFont="1"/>
    <xf numFmtId="0" fontId="10" fillId="0" borderId="0" xfId="0" applyFont="1"/>
    <xf numFmtId="2" fontId="8" fillId="0" borderId="0" xfId="0" applyNumberFormat="1" applyFont="1"/>
    <xf numFmtId="0" fontId="15" fillId="0" borderId="0" xfId="0" applyFont="1" applyAlignment="1">
      <alignment shrinkToFit="1"/>
    </xf>
    <xf numFmtId="0" fontId="15" fillId="0" borderId="0" xfId="0" applyFont="1"/>
    <xf numFmtId="2" fontId="10" fillId="0" borderId="0" xfId="0" applyNumberFormat="1" applyFont="1" applyAlignment="1">
      <alignment horizontal="center"/>
    </xf>
    <xf numFmtId="0" fontId="18" fillId="0" borderId="0" xfId="0" applyFont="1"/>
    <xf numFmtId="0" fontId="3" fillId="0" borderId="0" xfId="0" applyFont="1" applyAlignment="1">
      <alignment shrinkToFit="1"/>
    </xf>
    <xf numFmtId="2" fontId="3" fillId="0" borderId="0" xfId="0" applyNumberFormat="1" applyFont="1" applyAlignment="1">
      <alignment horizontal="center" shrinkToFit="1"/>
    </xf>
    <xf numFmtId="2" fontId="3" fillId="0" borderId="0" xfId="0" applyNumberFormat="1" applyFont="1"/>
    <xf numFmtId="0" fontId="22" fillId="0" borderId="0" xfId="0" applyFont="1"/>
    <xf numFmtId="0" fontId="9" fillId="0" borderId="0" xfId="0" applyFont="1" applyAlignment="1">
      <alignment shrinkToFit="1"/>
    </xf>
    <xf numFmtId="0" fontId="23" fillId="0" borderId="0" xfId="0" applyFont="1"/>
    <xf numFmtId="0" fontId="25" fillId="0" borderId="0" xfId="0" applyFont="1"/>
    <xf numFmtId="0" fontId="3" fillId="0" borderId="0" xfId="0" applyFont="1" applyAlignment="1">
      <alignment horizontal="left" shrinkToFit="1"/>
    </xf>
    <xf numFmtId="2" fontId="0" fillId="0" borderId="0" xfId="0" applyNumberFormat="1" applyAlignment="1">
      <alignment horizontal="center"/>
    </xf>
    <xf numFmtId="0" fontId="3" fillId="0" borderId="0" xfId="0" applyFont="1" applyAlignment="1">
      <alignment horizontal="left"/>
    </xf>
    <xf numFmtId="0" fontId="30" fillId="0" borderId="0" xfId="0" applyFont="1"/>
    <xf numFmtId="0" fontId="1"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xf numFmtId="0" fontId="23" fillId="0" borderId="3" xfId="0" applyFont="1" applyBorder="1"/>
    <xf numFmtId="0" fontId="1" fillId="0" borderId="9"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31" fillId="0" borderId="6" xfId="0" applyFont="1" applyBorder="1" applyAlignment="1">
      <alignment horizontal="left"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0" fillId="0" borderId="10" xfId="0" applyBorder="1"/>
    <xf numFmtId="0" fontId="31" fillId="0" borderId="13" xfId="0" applyFont="1" applyBorder="1" applyAlignment="1">
      <alignment horizontal="center" vertical="center"/>
    </xf>
    <xf numFmtId="0" fontId="31" fillId="0" borderId="2" xfId="0"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0" fillId="0" borderId="13" xfId="0" applyBorder="1"/>
    <xf numFmtId="0" fontId="0" fillId="0" borderId="13"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2" fontId="0" fillId="0" borderId="16" xfId="0" applyNumberFormat="1"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0" fillId="0" borderId="15" xfId="0" applyBorder="1" applyAlignment="1">
      <alignment horizontal="center" vertical="center"/>
    </xf>
    <xf numFmtId="0" fontId="0" fillId="0" borderId="15" xfId="0" applyBorder="1" applyAlignment="1">
      <alignment horizontal="center"/>
    </xf>
    <xf numFmtId="0" fontId="0" fillId="0" borderId="11" xfId="0" applyBorder="1" applyAlignment="1">
      <alignment horizontal="center"/>
    </xf>
    <xf numFmtId="166" fontId="0" fillId="0" borderId="0" xfId="0" applyNumberFormat="1"/>
    <xf numFmtId="0" fontId="32" fillId="0" borderId="0" xfId="0" applyFont="1"/>
    <xf numFmtId="0" fontId="31" fillId="0" borderId="16" xfId="0" applyFont="1" applyBorder="1" applyAlignment="1">
      <alignment horizontal="center" vertical="center"/>
    </xf>
    <xf numFmtId="166" fontId="33" fillId="0" borderId="0" xfId="0" applyNumberFormat="1" applyFont="1" applyAlignment="1">
      <alignment horizontal="right" vertical="center"/>
    </xf>
    <xf numFmtId="0" fontId="33" fillId="0" borderId="0" xfId="0" applyFont="1" applyAlignment="1">
      <alignment horizontal="center" vertical="center"/>
    </xf>
    <xf numFmtId="0" fontId="35" fillId="0" borderId="0" xfId="0" applyFont="1" applyAlignment="1">
      <alignment horizontal="left"/>
    </xf>
    <xf numFmtId="0" fontId="36" fillId="0" borderId="0" xfId="0" applyFont="1"/>
    <xf numFmtId="0" fontId="35" fillId="0" borderId="0" xfId="0" applyFont="1"/>
    <xf numFmtId="1" fontId="3" fillId="0" borderId="0" xfId="0" applyNumberFormat="1" applyFont="1" applyAlignment="1">
      <alignment horizontal="center"/>
    </xf>
    <xf numFmtId="0" fontId="9" fillId="0" borderId="0" xfId="0" applyFont="1" applyAlignment="1">
      <alignment horizontal="center"/>
    </xf>
    <xf numFmtId="0" fontId="0" fillId="0" borderId="7" xfId="0" applyBorder="1"/>
    <xf numFmtId="2" fontId="0" fillId="0" borderId="2" xfId="0" applyNumberFormat="1" applyBorder="1" applyAlignment="1">
      <alignment horizontal="center"/>
    </xf>
    <xf numFmtId="0" fontId="0" fillId="0" borderId="3" xfId="0" applyBorder="1"/>
    <xf numFmtId="0" fontId="0" fillId="0" borderId="9" xfId="0" applyBorder="1"/>
    <xf numFmtId="0" fontId="0" fillId="0" borderId="14"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center" vertical="center" wrapText="1"/>
    </xf>
    <xf numFmtId="0" fontId="31" fillId="0" borderId="0" xfId="0" applyFont="1" applyAlignment="1">
      <alignment horizontal="left" vertical="center"/>
    </xf>
    <xf numFmtId="0" fontId="0" fillId="0" borderId="0" xfId="0" applyAlignment="1">
      <alignment horizontal="center" vertical="center"/>
    </xf>
    <xf numFmtId="2" fontId="0" fillId="0" borderId="11" xfId="0" applyNumberFormat="1" applyBorder="1" applyAlignment="1">
      <alignment horizontal="center"/>
    </xf>
    <xf numFmtId="2" fontId="2" fillId="0" borderId="9" xfId="0" applyNumberFormat="1" applyFont="1" applyBorder="1" applyAlignment="1">
      <alignment horizontal="center"/>
    </xf>
    <xf numFmtId="2" fontId="2" fillId="0" borderId="4" xfId="0" applyNumberFormat="1" applyFont="1" applyBorder="1" applyAlignment="1">
      <alignment horizontal="center"/>
    </xf>
    <xf numFmtId="0" fontId="32" fillId="0" borderId="6" xfId="0" applyFont="1" applyBorder="1" applyAlignment="1">
      <alignment horizontal="left" vertical="center"/>
    </xf>
    <xf numFmtId="0" fontId="0" fillId="0" borderId="7" xfId="0"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2" fontId="0" fillId="0" borderId="12" xfId="0" applyNumberFormat="1" applyBorder="1" applyAlignment="1">
      <alignment horizontal="center"/>
    </xf>
    <xf numFmtId="0" fontId="0" fillId="0" borderId="8" xfId="0" applyBorder="1" applyAlignment="1">
      <alignment horizontal="center" vertical="center"/>
    </xf>
    <xf numFmtId="0" fontId="0" fillId="0" borderId="6" xfId="0" applyBorder="1"/>
    <xf numFmtId="0" fontId="0" fillId="0" borderId="8" xfId="0" applyBorder="1"/>
    <xf numFmtId="0" fontId="0" fillId="0" borderId="5" xfId="0" applyBorder="1"/>
    <xf numFmtId="2" fontId="31" fillId="0" borderId="0" xfId="0" applyNumberFormat="1" applyFont="1" applyAlignment="1">
      <alignment horizontal="center" vertical="center"/>
    </xf>
    <xf numFmtId="2" fontId="31" fillId="0" borderId="5" xfId="0" applyNumberFormat="1" applyFont="1" applyBorder="1" applyAlignment="1">
      <alignment horizontal="center" vertical="center"/>
    </xf>
    <xf numFmtId="0" fontId="31" fillId="0" borderId="11" xfId="0" applyFont="1" applyBorder="1" applyAlignment="1">
      <alignment horizontal="center" vertical="center"/>
    </xf>
    <xf numFmtId="2" fontId="14" fillId="0" borderId="0" xfId="0" applyNumberFormat="1" applyFont="1" applyAlignment="1">
      <alignment horizontal="center" vertical="center"/>
    </xf>
    <xf numFmtId="164" fontId="0" fillId="0" borderId="11" xfId="0" applyNumberFormat="1" applyBorder="1" applyAlignment="1">
      <alignment horizontal="center"/>
    </xf>
    <xf numFmtId="2" fontId="31" fillId="0" borderId="11" xfId="0" applyNumberFormat="1" applyFont="1" applyBorder="1" applyAlignment="1">
      <alignment horizontal="center" vertical="center"/>
    </xf>
    <xf numFmtId="2" fontId="31" fillId="0" borderId="12" xfId="0" applyNumberFormat="1" applyFont="1" applyBorder="1" applyAlignment="1">
      <alignment horizontal="center" vertical="center"/>
    </xf>
    <xf numFmtId="0" fontId="0" fillId="0" borderId="6" xfId="0" applyBorder="1" applyAlignment="1">
      <alignment horizontal="center" vertical="center"/>
    </xf>
    <xf numFmtId="2" fontId="0" fillId="0" borderId="5" xfId="0" applyNumberFormat="1" applyBorder="1" applyAlignment="1">
      <alignment horizontal="center"/>
    </xf>
    <xf numFmtId="2" fontId="0" fillId="0" borderId="10" xfId="0" applyNumberFormat="1" applyBorder="1" applyAlignment="1">
      <alignment horizontal="center"/>
    </xf>
    <xf numFmtId="0" fontId="0" fillId="0" borderId="7" xfId="0" applyBorder="1" applyAlignment="1">
      <alignment horizontal="center" vertical="center"/>
    </xf>
    <xf numFmtId="0" fontId="0" fillId="0" borderId="2" xfId="0" applyBorder="1"/>
    <xf numFmtId="0" fontId="0" fillId="0" borderId="7" xfId="0" applyBorder="1" applyAlignment="1">
      <alignment horizontal="center"/>
    </xf>
    <xf numFmtId="1" fontId="0" fillId="0" borderId="0" xfId="0" applyNumberFormat="1" applyAlignment="1">
      <alignment horizontal="center"/>
    </xf>
    <xf numFmtId="0" fontId="0" fillId="0" borderId="11" xfId="0" applyBorder="1"/>
    <xf numFmtId="1" fontId="0" fillId="0" borderId="2" xfId="0" applyNumberFormat="1" applyBorder="1" applyAlignment="1">
      <alignment horizontal="center"/>
    </xf>
    <xf numFmtId="0" fontId="0" fillId="0" borderId="12" xfId="0" applyBorder="1"/>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27" fillId="0" borderId="0" xfId="1" applyFont="1" applyAlignment="1">
      <alignment horizontal="left"/>
    </xf>
    <xf numFmtId="0" fontId="23" fillId="0" borderId="6" xfId="0" applyFont="1" applyBorder="1"/>
    <xf numFmtId="0" fontId="23" fillId="0" borderId="7" xfId="0" applyFont="1" applyBorder="1"/>
    <xf numFmtId="0" fontId="23" fillId="0" borderId="8" xfId="0" applyFont="1" applyBorder="1"/>
    <xf numFmtId="1" fontId="0" fillId="0" borderId="5" xfId="0" applyNumberFormat="1" applyBorder="1" applyAlignment="1">
      <alignment horizontal="center"/>
    </xf>
    <xf numFmtId="1" fontId="0" fillId="0" borderId="10" xfId="0" applyNumberFormat="1" applyBorder="1" applyAlignment="1">
      <alignment horizontal="center"/>
    </xf>
    <xf numFmtId="1" fontId="0" fillId="0" borderId="11" xfId="0" applyNumberFormat="1" applyBorder="1" applyAlignment="1">
      <alignment horizontal="center"/>
    </xf>
    <xf numFmtId="2" fontId="17" fillId="0" borderId="2" xfId="0" applyNumberFormat="1" applyFont="1" applyBorder="1" applyAlignment="1">
      <alignment horizontal="center"/>
    </xf>
    <xf numFmtId="2" fontId="17" fillId="0" borderId="12" xfId="0" applyNumberFormat="1" applyFont="1" applyBorder="1" applyAlignment="1">
      <alignment horizontal="center"/>
    </xf>
    <xf numFmtId="164" fontId="17" fillId="0" borderId="2" xfId="0" applyNumberFormat="1" applyFont="1" applyBorder="1" applyAlignment="1">
      <alignment horizontal="center"/>
    </xf>
    <xf numFmtId="164" fontId="17" fillId="0" borderId="12" xfId="0" applyNumberFormat="1" applyFont="1" applyBorder="1" applyAlignment="1">
      <alignment horizontal="center"/>
    </xf>
    <xf numFmtId="164" fontId="0" fillId="0" borderId="5" xfId="0" applyNumberFormat="1" applyBorder="1" applyAlignment="1">
      <alignment horizontal="center"/>
    </xf>
    <xf numFmtId="164" fontId="0" fillId="0" borderId="10" xfId="0" applyNumberFormat="1" applyBorder="1" applyAlignment="1">
      <alignment horizontal="center"/>
    </xf>
    <xf numFmtId="0" fontId="17" fillId="0" borderId="2" xfId="0" applyFont="1" applyBorder="1" applyAlignment="1">
      <alignment horizontal="center"/>
    </xf>
    <xf numFmtId="0" fontId="17" fillId="0" borderId="12" xfId="0" applyFont="1" applyBorder="1" applyAlignment="1">
      <alignment horizontal="center"/>
    </xf>
    <xf numFmtId="166" fontId="0" fillId="0" borderId="0" xfId="0" applyNumberFormat="1" applyAlignment="1">
      <alignment horizontal="center"/>
    </xf>
    <xf numFmtId="0" fontId="2" fillId="0" borderId="3" xfId="0" applyFont="1" applyBorder="1"/>
    <xf numFmtId="0" fontId="0" fillId="0" borderId="0" xfId="0" applyAlignment="1">
      <alignment wrapText="1" shrinkToFit="1"/>
    </xf>
    <xf numFmtId="0" fontId="3" fillId="0" borderId="6" xfId="0" applyFont="1" applyBorder="1"/>
    <xf numFmtId="0" fontId="3" fillId="0" borderId="7" xfId="0" applyFont="1" applyBorder="1" applyAlignment="1">
      <alignment horizontal="left"/>
    </xf>
    <xf numFmtId="0" fontId="3" fillId="0" borderId="7" xfId="0" applyFont="1" applyBorder="1"/>
    <xf numFmtId="0" fontId="3" fillId="0" borderId="8" xfId="0" applyFont="1" applyBorder="1"/>
    <xf numFmtId="0" fontId="3" fillId="0" borderId="2" xfId="0" applyFont="1" applyBorder="1"/>
    <xf numFmtId="165" fontId="0" fillId="0" borderId="11" xfId="0" applyNumberFormat="1" applyBorder="1" applyAlignment="1">
      <alignment horizontal="center"/>
    </xf>
    <xf numFmtId="165" fontId="0" fillId="0" borderId="12" xfId="0" applyNumberFormat="1" applyBorder="1" applyAlignment="1">
      <alignment horizontal="center"/>
    </xf>
    <xf numFmtId="165" fontId="0" fillId="0" borderId="10" xfId="0" applyNumberFormat="1" applyBorder="1" applyAlignment="1">
      <alignment horizontal="center"/>
    </xf>
    <xf numFmtId="1" fontId="0" fillId="0" borderId="8" xfId="0" applyNumberFormat="1" applyBorder="1" applyAlignment="1">
      <alignment horizontal="center"/>
    </xf>
    <xf numFmtId="1" fontId="0" fillId="0" borderId="6" xfId="0" applyNumberFormat="1" applyBorder="1" applyAlignment="1">
      <alignment horizontal="center"/>
    </xf>
    <xf numFmtId="1" fontId="0" fillId="0" borderId="7" xfId="0" applyNumberFormat="1" applyBorder="1" applyAlignment="1">
      <alignment horizontal="center"/>
    </xf>
    <xf numFmtId="0" fontId="23" fillId="0" borderId="5" xfId="0" applyFont="1" applyBorder="1"/>
    <xf numFmtId="0" fontId="23" fillId="0" borderId="10" xfId="0" applyFont="1" applyBorder="1" applyAlignment="1">
      <alignment horizontal="center"/>
    </xf>
    <xf numFmtId="0" fontId="23" fillId="0" borderId="11" xfId="0" applyFont="1" applyBorder="1"/>
    <xf numFmtId="0" fontId="23" fillId="0" borderId="3" xfId="0" applyFont="1" applyBorder="1" applyAlignment="1">
      <alignment horizontal="left"/>
    </xf>
    <xf numFmtId="1" fontId="0" fillId="0" borderId="4" xfId="0" applyNumberFormat="1" applyBorder="1" applyAlignment="1">
      <alignment horizontal="center"/>
    </xf>
    <xf numFmtId="0" fontId="38" fillId="0" borderId="5" xfId="0" applyFont="1" applyBorder="1"/>
    <xf numFmtId="0" fontId="37" fillId="0" borderId="9" xfId="0" applyFont="1" applyBorder="1" applyAlignment="1">
      <alignment horizontal="center"/>
    </xf>
    <xf numFmtId="165" fontId="0" fillId="0" borderId="0" xfId="0" applyNumberFormat="1"/>
    <xf numFmtId="1" fontId="0" fillId="0" borderId="0" xfId="0" applyNumberFormat="1"/>
    <xf numFmtId="0" fontId="0" fillId="0" borderId="0" xfId="0" applyAlignment="1">
      <alignment horizontal="right"/>
    </xf>
    <xf numFmtId="0" fontId="8" fillId="0" borderId="16" xfId="0" applyFont="1" applyBorder="1" applyAlignment="1">
      <alignment horizontal="center"/>
    </xf>
    <xf numFmtId="1" fontId="0" fillId="0" borderId="6" xfId="0" applyNumberFormat="1" applyBorder="1"/>
    <xf numFmtId="1" fontId="0" fillId="0" borderId="5" xfId="0" applyNumberFormat="1" applyBorder="1"/>
    <xf numFmtId="1" fontId="0" fillId="0" borderId="10" xfId="0" applyNumberFormat="1" applyBorder="1"/>
    <xf numFmtId="1" fontId="0" fillId="0" borderId="7" xfId="0" applyNumberFormat="1" applyBorder="1"/>
    <xf numFmtId="1" fontId="0" fillId="0" borderId="11" xfId="0" applyNumberFormat="1" applyBorder="1"/>
    <xf numFmtId="1" fontId="0" fillId="0" borderId="8" xfId="0" applyNumberFormat="1" applyBorder="1"/>
    <xf numFmtId="1" fontId="0" fillId="0" borderId="2" xfId="0" applyNumberFormat="1" applyBorder="1"/>
    <xf numFmtId="1" fontId="0" fillId="0" borderId="12" xfId="0" applyNumberFormat="1" applyBorder="1"/>
    <xf numFmtId="0" fontId="0" fillId="0" borderId="0" xfId="0" applyAlignment="1">
      <alignment vertical="center"/>
    </xf>
    <xf numFmtId="0" fontId="0" fillId="0" borderId="8" xfId="0" applyBorder="1" applyAlignment="1">
      <alignment horizontal="left"/>
    </xf>
    <xf numFmtId="2" fontId="3" fillId="0" borderId="2" xfId="0" applyNumberFormat="1" applyFont="1" applyBorder="1" applyAlignment="1">
      <alignment horizontal="center"/>
    </xf>
    <xf numFmtId="2" fontId="3" fillId="0" borderId="5" xfId="0" applyNumberFormat="1" applyFont="1" applyBorder="1" applyAlignment="1">
      <alignment horizontal="center"/>
    </xf>
    <xf numFmtId="2" fontId="3" fillId="0" borderId="0" xfId="0" applyNumberFormat="1" applyFont="1" applyAlignment="1">
      <alignment shrinkToFit="1"/>
    </xf>
    <xf numFmtId="0" fontId="22" fillId="0" borderId="12" xfId="0" applyFont="1" applyBorder="1"/>
    <xf numFmtId="0" fontId="4" fillId="0" borderId="7" xfId="0" applyFont="1" applyBorder="1"/>
    <xf numFmtId="0" fontId="4" fillId="0" borderId="6" xfId="0" applyFont="1" applyBorder="1"/>
    <xf numFmtId="0" fontId="0" fillId="0" borderId="5" xfId="0" applyBorder="1" applyAlignment="1">
      <alignment horizontal="left"/>
    </xf>
    <xf numFmtId="0" fontId="0" fillId="0" borderId="11" xfId="0"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xf numFmtId="0" fontId="3" fillId="0" borderId="9" xfId="0" applyFont="1" applyBorder="1"/>
    <xf numFmtId="0" fontId="3" fillId="0" borderId="4" xfId="0" applyFont="1" applyBorder="1"/>
    <xf numFmtId="2" fontId="3" fillId="0" borderId="10" xfId="0" applyNumberFormat="1" applyFont="1" applyBorder="1" applyAlignment="1">
      <alignment horizontal="center"/>
    </xf>
    <xf numFmtId="2" fontId="3" fillId="0" borderId="11" xfId="0" applyNumberFormat="1" applyFont="1" applyBorder="1" applyAlignment="1">
      <alignment horizontal="center"/>
    </xf>
    <xf numFmtId="2" fontId="3" fillId="0" borderId="9" xfId="0" applyNumberFormat="1" applyFont="1" applyBorder="1" applyAlignment="1">
      <alignment horizontal="center"/>
    </xf>
    <xf numFmtId="0" fontId="3" fillId="0" borderId="9" xfId="0" applyFont="1" applyBorder="1" applyAlignment="1">
      <alignment horizontal="center"/>
    </xf>
    <xf numFmtId="2" fontId="3" fillId="0" borderId="4" xfId="0" applyNumberFormat="1" applyFont="1" applyBorder="1" applyAlignment="1">
      <alignment horizontal="center"/>
    </xf>
    <xf numFmtId="2" fontId="3" fillId="0" borderId="12" xfId="0" applyNumberFormat="1" applyFont="1" applyBorder="1" applyAlignment="1">
      <alignment horizontal="center"/>
    </xf>
    <xf numFmtId="0" fontId="40" fillId="0" borderId="0" xfId="0" applyFont="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6" xfId="0" applyFont="1" applyBorder="1"/>
    <xf numFmtId="0" fontId="2" fillId="0" borderId="5" xfId="0" applyFont="1" applyBorder="1"/>
    <xf numFmtId="0" fontId="2" fillId="0" borderId="10" xfId="0" applyFont="1" applyBorder="1"/>
    <xf numFmtId="0" fontId="2" fillId="0" borderId="7" xfId="0" applyFont="1" applyBorder="1"/>
    <xf numFmtId="0" fontId="2" fillId="0" borderId="11" xfId="0" applyFont="1" applyBorder="1"/>
    <xf numFmtId="0" fontId="2" fillId="0" borderId="8" xfId="0" applyFont="1" applyBorder="1"/>
    <xf numFmtId="0" fontId="2" fillId="0" borderId="2" xfId="0" applyFont="1" applyBorder="1"/>
    <xf numFmtId="0" fontId="2" fillId="0" borderId="12" xfId="0" applyFont="1" applyBorder="1"/>
    <xf numFmtId="2" fontId="3" fillId="0" borderId="15" xfId="0" applyNumberFormat="1" applyFont="1" applyBorder="1" applyAlignment="1">
      <alignment horizontal="center"/>
    </xf>
    <xf numFmtId="2" fontId="0" fillId="0" borderId="15" xfId="0" applyNumberFormat="1" applyBorder="1" applyAlignment="1">
      <alignment horizontal="center"/>
    </xf>
    <xf numFmtId="2" fontId="24" fillId="0" borderId="15" xfId="0" applyNumberFormat="1" applyFont="1" applyBorder="1" applyAlignment="1">
      <alignment horizontal="center"/>
    </xf>
    <xf numFmtId="2" fontId="24" fillId="0" borderId="16" xfId="0" applyNumberFormat="1"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shrinkToFit="1"/>
    </xf>
    <xf numFmtId="2" fontId="3" fillId="0" borderId="5" xfId="0" applyNumberFormat="1" applyFont="1" applyBorder="1" applyAlignment="1">
      <alignment horizontal="center" shrinkToFit="1"/>
    </xf>
    <xf numFmtId="0" fontId="18" fillId="0" borderId="0" xfId="0" applyFont="1" applyAlignment="1">
      <alignment horizontal="center"/>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3" fillId="0" borderId="11" xfId="0" applyFont="1" applyBorder="1" applyAlignment="1">
      <alignment shrinkToFit="1"/>
    </xf>
    <xf numFmtId="0" fontId="3" fillId="0" borderId="11" xfId="0" applyFont="1" applyBorder="1"/>
    <xf numFmtId="0" fontId="17" fillId="0" borderId="0" xfId="0" applyFont="1"/>
    <xf numFmtId="0" fontId="3" fillId="0" borderId="7" xfId="0" applyFont="1" applyBorder="1" applyAlignment="1">
      <alignment shrinkToFit="1"/>
    </xf>
    <xf numFmtId="2" fontId="8" fillId="0" borderId="0" xfId="0" applyNumberFormat="1" applyFont="1" applyAlignment="1">
      <alignment horizontal="right"/>
    </xf>
    <xf numFmtId="165" fontId="8" fillId="0" borderId="0" xfId="0" applyNumberFormat="1" applyFont="1"/>
    <xf numFmtId="2" fontId="8" fillId="0" borderId="2" xfId="0" applyNumberFormat="1" applyFont="1" applyBorder="1"/>
    <xf numFmtId="0" fontId="14" fillId="0" borderId="6" xfId="0" applyFont="1" applyBorder="1"/>
    <xf numFmtId="0" fontId="10" fillId="0" borderId="5" xfId="0" applyFont="1" applyBorder="1"/>
    <xf numFmtId="2" fontId="0" fillId="0" borderId="5" xfId="0" applyNumberFormat="1" applyBorder="1"/>
    <xf numFmtId="2" fontId="0" fillId="0" borderId="2" xfId="0" applyNumberFormat="1" applyBorder="1"/>
    <xf numFmtId="0" fontId="0" fillId="0" borderId="7" xfId="0" applyBorder="1" applyAlignment="1">
      <alignment horizontal="left"/>
    </xf>
    <xf numFmtId="0" fontId="4" fillId="0" borderId="2" xfId="0" applyFont="1" applyBorder="1"/>
    <xf numFmtId="0" fontId="3" fillId="0" borderId="10" xfId="0" applyFont="1" applyBorder="1" applyAlignment="1">
      <alignment shrinkToFit="1"/>
    </xf>
    <xf numFmtId="2" fontId="2" fillId="0" borderId="5" xfId="0" applyNumberFormat="1" applyFont="1" applyBorder="1" applyAlignment="1">
      <alignment horizontal="center"/>
    </xf>
    <xf numFmtId="2" fontId="2" fillId="0" borderId="0" xfId="0" applyNumberFormat="1" applyFont="1" applyAlignment="1">
      <alignment horizontal="center"/>
    </xf>
    <xf numFmtId="1" fontId="0" fillId="0" borderId="1" xfId="0" applyNumberFormat="1" applyBorder="1"/>
    <xf numFmtId="1" fontId="0" fillId="0" borderId="0" xfId="0" applyNumberFormat="1" applyAlignment="1">
      <alignment horizontal="left"/>
    </xf>
    <xf numFmtId="1" fontId="0" fillId="0" borderId="0" xfId="0" applyNumberFormat="1" applyAlignment="1">
      <alignment horizontal="right"/>
    </xf>
    <xf numFmtId="1" fontId="0" fillId="0" borderId="17" xfId="0" applyNumberFormat="1" applyBorder="1"/>
    <xf numFmtId="0" fontId="3" fillId="0" borderId="11" xfId="0" applyFont="1" applyBorder="1" applyAlignment="1">
      <alignment horizontal="center"/>
    </xf>
    <xf numFmtId="0" fontId="3" fillId="0" borderId="8" xfId="0" applyFont="1" applyBorder="1" applyAlignment="1">
      <alignment horizontal="left"/>
    </xf>
    <xf numFmtId="0" fontId="25" fillId="0" borderId="2" xfId="0" applyFont="1" applyBorder="1"/>
    <xf numFmtId="0" fontId="3" fillId="0" borderId="12" xfId="0" applyFont="1" applyBorder="1" applyAlignment="1">
      <alignment horizontal="center"/>
    </xf>
    <xf numFmtId="166" fontId="31" fillId="0" borderId="0" xfId="0" applyNumberFormat="1" applyFont="1" applyAlignment="1">
      <alignment horizontal="center" vertical="center"/>
    </xf>
    <xf numFmtId="0" fontId="0" fillId="0" borderId="9" xfId="0" applyBorder="1" applyAlignment="1">
      <alignment horizontal="left"/>
    </xf>
    <xf numFmtId="168" fontId="0" fillId="0" borderId="0" xfId="0" applyNumberFormat="1"/>
    <xf numFmtId="167" fontId="0" fillId="0" borderId="0" xfId="0" applyNumberFormat="1"/>
    <xf numFmtId="1" fontId="8" fillId="0" borderId="0" xfId="0" applyNumberFormat="1" applyFont="1"/>
    <xf numFmtId="1" fontId="0" fillId="0" borderId="3" xfId="0" applyNumberFormat="1" applyBorder="1"/>
    <xf numFmtId="1" fontId="8" fillId="0" borderId="9" xfId="0" applyNumberFormat="1" applyFont="1" applyBorder="1"/>
    <xf numFmtId="1" fontId="0" fillId="0" borderId="9" xfId="0" applyNumberFormat="1" applyBorder="1"/>
    <xf numFmtId="1" fontId="0" fillId="0" borderId="9" xfId="0" applyNumberFormat="1" applyBorder="1" applyAlignment="1">
      <alignment horizontal="right"/>
    </xf>
    <xf numFmtId="1" fontId="8" fillId="0" borderId="9" xfId="0" applyNumberFormat="1" applyFont="1" applyBorder="1" applyAlignment="1">
      <alignment horizontal="left"/>
    </xf>
    <xf numFmtId="1" fontId="0" fillId="0" borderId="4" xfId="0" applyNumberFormat="1" applyBorder="1"/>
    <xf numFmtId="1" fontId="8" fillId="0" borderId="5" xfId="0" applyNumberFormat="1" applyFont="1" applyBorder="1"/>
    <xf numFmtId="1" fontId="0" fillId="0" borderId="11" xfId="0" applyNumberFormat="1" applyBorder="1" applyAlignment="1">
      <alignment horizontal="left"/>
    </xf>
    <xf numFmtId="1" fontId="0" fillId="0" borderId="5" xfId="0" applyNumberFormat="1" applyBorder="1" applyAlignment="1">
      <alignment horizontal="left"/>
    </xf>
    <xf numFmtId="1" fontId="0" fillId="0" borderId="7" xfId="0" applyNumberFormat="1" applyBorder="1" applyAlignment="1">
      <alignment horizontal="left"/>
    </xf>
    <xf numFmtId="164" fontId="0" fillId="0" borderId="0" xfId="0" applyNumberFormat="1" applyAlignment="1">
      <alignment horizontal="center" vertical="center"/>
    </xf>
    <xf numFmtId="168" fontId="31" fillId="0" borderId="0" xfId="0" applyNumberFormat="1" applyFont="1" applyAlignment="1">
      <alignment horizontal="center" vertical="center"/>
    </xf>
    <xf numFmtId="166" fontId="14" fillId="0" borderId="0" xfId="0" applyNumberFormat="1" applyFont="1" applyAlignment="1">
      <alignment horizontal="center" vertical="center"/>
    </xf>
    <xf numFmtId="0" fontId="42" fillId="0" borderId="11" xfId="0" applyFont="1" applyBorder="1" applyAlignment="1">
      <alignment horizontal="center"/>
    </xf>
    <xf numFmtId="0" fontId="42" fillId="0" borderId="12" xfId="0" applyFont="1" applyBorder="1" applyAlignment="1">
      <alignment horizontal="center"/>
    </xf>
    <xf numFmtId="0" fontId="43" fillId="0" borderId="10" xfId="0" applyFont="1" applyBorder="1"/>
    <xf numFmtId="0" fontId="43" fillId="0" borderId="11" xfId="0" applyFont="1" applyBorder="1"/>
    <xf numFmtId="0" fontId="43" fillId="0" borderId="12" xfId="0" applyFont="1" applyBorder="1"/>
    <xf numFmtId="0" fontId="43" fillId="0" borderId="12" xfId="0" applyFont="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0" borderId="5" xfId="0" applyFont="1" applyBorder="1"/>
    <xf numFmtId="0" fontId="43" fillId="0" borderId="0" xfId="0" applyFont="1"/>
    <xf numFmtId="0" fontId="43" fillId="0" borderId="2" xfId="0" applyFont="1" applyBorder="1"/>
    <xf numFmtId="0" fontId="3" fillId="2" borderId="5" xfId="0" applyFont="1" applyFill="1" applyBorder="1" applyAlignment="1" applyProtection="1">
      <alignment horizontal="right"/>
      <protection locked="0"/>
    </xf>
    <xf numFmtId="0" fontId="3" fillId="0" borderId="12" xfId="0" applyFont="1" applyBorder="1"/>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44" fillId="3" borderId="13" xfId="0" applyFont="1" applyFill="1" applyBorder="1" applyProtection="1">
      <protection locked="0"/>
    </xf>
    <xf numFmtId="0" fontId="0" fillId="4" borderId="0" xfId="0" applyFill="1"/>
    <xf numFmtId="0" fontId="45" fillId="4" borderId="0" xfId="0" applyFont="1" applyFill="1"/>
    <xf numFmtId="0" fontId="44" fillId="4" borderId="0" xfId="0" applyFont="1" applyFill="1"/>
    <xf numFmtId="0" fontId="46" fillId="4" borderId="0" xfId="0" applyFont="1" applyFill="1"/>
    <xf numFmtId="2" fontId="0" fillId="0" borderId="0" xfId="0" applyNumberFormat="1" applyAlignment="1">
      <alignment horizontal="right"/>
    </xf>
    <xf numFmtId="0" fontId="8" fillId="0" borderId="7" xfId="0" applyFont="1" applyBorder="1"/>
    <xf numFmtId="0" fontId="3" fillId="2" borderId="5" xfId="0" applyFont="1" applyFill="1" applyBorder="1" applyProtection="1">
      <protection locked="0"/>
    </xf>
    <xf numFmtId="0" fontId="3" fillId="2" borderId="0" xfId="0" applyFont="1" applyFill="1" applyProtection="1">
      <protection locked="0"/>
    </xf>
    <xf numFmtId="0" fontId="3" fillId="2" borderId="0" xfId="0" applyFont="1" applyFill="1" applyAlignment="1" applyProtection="1">
      <alignment vertical="center"/>
      <protection locked="0"/>
    </xf>
    <xf numFmtId="0" fontId="3" fillId="2" borderId="11"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0" xfId="0" applyFont="1" applyFill="1" applyAlignment="1" applyProtection="1">
      <alignment horizontal="right"/>
      <protection locked="0"/>
    </xf>
    <xf numFmtId="0" fontId="3" fillId="2" borderId="2" xfId="0" applyFont="1" applyFill="1" applyBorder="1" applyProtection="1">
      <protection locked="0"/>
    </xf>
    <xf numFmtId="0" fontId="1" fillId="2" borderId="2"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166" fontId="3" fillId="2" borderId="11" xfId="0" applyNumberFormat="1" applyFont="1" applyFill="1" applyBorder="1" applyAlignment="1" applyProtection="1">
      <alignment horizontal="center"/>
      <protection locked="0"/>
    </xf>
    <xf numFmtId="2" fontId="26" fillId="2" borderId="14" xfId="0" applyNumberFormat="1" applyFont="1" applyFill="1" applyBorder="1" applyAlignment="1" applyProtection="1">
      <alignment horizontal="center"/>
      <protection locked="0"/>
    </xf>
    <xf numFmtId="2" fontId="34" fillId="2" borderId="14" xfId="0" applyNumberFormat="1" applyFont="1" applyFill="1" applyBorder="1" applyAlignment="1" applyProtection="1">
      <alignment horizontal="center"/>
      <protection locked="0"/>
    </xf>
    <xf numFmtId="0" fontId="44" fillId="3" borderId="3" xfId="0" applyFont="1" applyFill="1" applyBorder="1" applyAlignment="1" applyProtection="1">
      <alignment horizontal="left"/>
      <protection locked="0"/>
    </xf>
    <xf numFmtId="0" fontId="44" fillId="3" borderId="9" xfId="0" applyFont="1" applyFill="1" applyBorder="1" applyAlignment="1" applyProtection="1">
      <alignment horizontal="left"/>
      <protection locked="0"/>
    </xf>
    <xf numFmtId="0" fontId="44" fillId="3" borderId="4" xfId="0" applyFont="1" applyFill="1" applyBorder="1" applyAlignment="1" applyProtection="1">
      <alignment horizontal="left"/>
      <protection locked="0"/>
    </xf>
    <xf numFmtId="0" fontId="44" fillId="4" borderId="0" xfId="0" applyFont="1" applyFill="1" applyAlignment="1">
      <alignment horizontal="left" vertical="center" wrapText="1"/>
    </xf>
    <xf numFmtId="0" fontId="44" fillId="3" borderId="3" xfId="0" applyFont="1" applyFill="1" applyBorder="1" applyAlignment="1">
      <alignment horizontal="center"/>
    </xf>
    <xf numFmtId="0" fontId="44" fillId="3" borderId="4" xfId="0" applyFont="1" applyFill="1" applyBorder="1" applyAlignment="1">
      <alignment horizontal="center"/>
    </xf>
    <xf numFmtId="0" fontId="45" fillId="3" borderId="3" xfId="0" applyFont="1" applyFill="1" applyBorder="1" applyAlignment="1">
      <alignment horizontal="left" vertical="center" wrapText="1"/>
    </xf>
    <xf numFmtId="0" fontId="45" fillId="3" borderId="9"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45" fillId="3" borderId="3" xfId="0" applyFont="1" applyFill="1" applyBorder="1" applyAlignment="1" applyProtection="1">
      <alignment horizontal="center" vertical="center" wrapText="1"/>
      <protection locked="0"/>
    </xf>
    <xf numFmtId="0" fontId="45" fillId="3" borderId="4" xfId="0" applyFont="1" applyFill="1" applyBorder="1" applyAlignment="1" applyProtection="1">
      <alignment horizontal="center" vertical="center" wrapText="1"/>
      <protection locked="0"/>
    </xf>
    <xf numFmtId="0" fontId="44" fillId="3" borderId="3" xfId="0" applyFont="1" applyFill="1" applyBorder="1" applyAlignment="1">
      <alignment horizontal="left"/>
    </xf>
    <xf numFmtId="0" fontId="44" fillId="3" borderId="4" xfId="0" applyFont="1" applyFill="1" applyBorder="1" applyAlignment="1">
      <alignment horizontal="left"/>
    </xf>
    <xf numFmtId="14" fontId="44" fillId="3" borderId="13" xfId="0" applyNumberFormat="1" applyFont="1" applyFill="1" applyBorder="1" applyAlignment="1" applyProtection="1">
      <alignment horizontal="left"/>
      <protection locked="0"/>
    </xf>
    <xf numFmtId="0" fontId="0" fillId="0" borderId="6" xfId="0" applyBorder="1"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8" fillId="0" borderId="3" xfId="0" applyFont="1" applyBorder="1" applyAlignment="1">
      <alignment horizontal="center"/>
    </xf>
    <xf numFmtId="0" fontId="8" fillId="0" borderId="9" xfId="0" applyFont="1" applyBorder="1" applyAlignment="1">
      <alignment horizontal="center"/>
    </xf>
    <xf numFmtId="0" fontId="23" fillId="0" borderId="3" xfId="0" applyFont="1" applyBorder="1" applyAlignment="1">
      <alignment horizontal="center"/>
    </xf>
    <xf numFmtId="0" fontId="23" fillId="0" borderId="4" xfId="0" applyFont="1" applyBorder="1" applyAlignment="1">
      <alignment horizontal="center"/>
    </xf>
    <xf numFmtId="0" fontId="0" fillId="0" borderId="9" xfId="0"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476250</xdr:colOff>
      <xdr:row>87</xdr:row>
      <xdr:rowOff>171450</xdr:rowOff>
    </xdr:from>
    <xdr:ext cx="194454" cy="217317"/>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59721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sz="1100"/>
        </a:p>
      </xdr:txBody>
    </xdr:sp>
    <xdr:clientData/>
  </xdr:oneCellAnchor>
  <xdr:oneCellAnchor>
    <xdr:from>
      <xdr:col>0</xdr:col>
      <xdr:colOff>19050</xdr:colOff>
      <xdr:row>48</xdr:row>
      <xdr:rowOff>121752</xdr:rowOff>
    </xdr:from>
    <xdr:ext cx="2623102" cy="1814023"/>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19050" y="320535"/>
          <a:ext cx="2623102" cy="181402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ctr">
          <a:spAutoFit/>
        </a:bodyPr>
        <a:lstStyle/>
        <a:p>
          <a:pPr lvl="0" algn="l"/>
          <a:r>
            <a:rPr lang="en-IN" sz="1000" b="0" i="0" u="none" strike="noStrike">
              <a:solidFill>
                <a:schemeClr val="tx1"/>
              </a:solidFill>
              <a:latin typeface="+mn-lt"/>
              <a:ea typeface="+mn-ea"/>
              <a:cs typeface="+mn-cs"/>
            </a:rPr>
            <a:t>      This Program applies For Horizontal Backfill only. In this Program Retaining</a:t>
          </a:r>
          <a:r>
            <a:rPr lang="en-IN" sz="1000"/>
            <a:t>  </a:t>
          </a:r>
          <a:r>
            <a:rPr lang="en-IN" sz="1000" b="0" i="0" u="none" strike="noStrike">
              <a:solidFill>
                <a:schemeClr val="tx1"/>
              </a:solidFill>
              <a:latin typeface="+mn-lt"/>
              <a:ea typeface="+mn-ea"/>
              <a:cs typeface="+mn-cs"/>
            </a:rPr>
            <a:t>wall is consider cantilever  type  and  analyzed  as a solid  block with stem</a:t>
          </a:r>
          <a:r>
            <a:rPr lang="en-IN" sz="1000"/>
            <a:t>  and</a:t>
          </a:r>
          <a:r>
            <a:rPr lang="en-IN" sz="1000" baseline="0"/>
            <a:t> base as a  unit.  Working  Stress method is adopted for design.  Soil  above  Toe slab   shown   in   the  figure is  ignored  as  per </a:t>
          </a:r>
          <a:r>
            <a:rPr lang="en-IN" sz="1000" b="0" i="0" u="none" strike="noStrike">
              <a:solidFill>
                <a:schemeClr val="tx1"/>
              </a:solidFill>
              <a:latin typeface="+mn-lt"/>
              <a:ea typeface="+mn-ea"/>
              <a:cs typeface="+mn-cs"/>
            </a:rPr>
            <a:t>standards</a:t>
          </a:r>
          <a:r>
            <a:rPr lang="en-IN" sz="1000" baseline="0"/>
            <a:t>.  Tip  thickness  (tt ) for  heel and toe kept same in this  program. Similarly Base  Slab thickness  as  stem  base  is  kept  same  in  this program.     Main  components  used    in    this program are described in ths figure 1 </a:t>
          </a:r>
          <a:endParaRPr lang="en-IN" sz="1000"/>
        </a:p>
      </xdr:txBody>
    </xdr:sp>
    <xdr:clientData/>
  </xdr:oneCellAnchor>
  <xdr:twoCellAnchor>
    <xdr:from>
      <xdr:col>7</xdr:col>
      <xdr:colOff>228188</xdr:colOff>
      <xdr:row>66</xdr:row>
      <xdr:rowOff>196361</xdr:rowOff>
    </xdr:from>
    <xdr:to>
      <xdr:col>8</xdr:col>
      <xdr:colOff>5800</xdr:colOff>
      <xdr:row>68</xdr:row>
      <xdr:rowOff>7327</xdr:rowOff>
    </xdr:to>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4535145" y="4097470"/>
          <a:ext cx="390525" cy="233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 :</a:t>
          </a:r>
        </a:p>
      </xdr:txBody>
    </xdr:sp>
    <xdr:clientData/>
  </xdr:twoCellAnchor>
  <xdr:twoCellAnchor>
    <xdr:from>
      <xdr:col>7</xdr:col>
      <xdr:colOff>237713</xdr:colOff>
      <xdr:row>67</xdr:row>
      <xdr:rowOff>153641</xdr:rowOff>
    </xdr:from>
    <xdr:to>
      <xdr:col>8</xdr:col>
      <xdr:colOff>15325</xdr:colOff>
      <xdr:row>69</xdr:row>
      <xdr:rowOff>29816</xdr:rowOff>
    </xdr:to>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4544670" y="4286663"/>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 :</a:t>
          </a:r>
        </a:p>
      </xdr:txBody>
    </xdr:sp>
    <xdr:clientData/>
  </xdr:twoCellAnchor>
  <xdr:twoCellAnchor>
    <xdr:from>
      <xdr:col>3</xdr:col>
      <xdr:colOff>180974</xdr:colOff>
      <xdr:row>68</xdr:row>
      <xdr:rowOff>161924</xdr:rowOff>
    </xdr:from>
    <xdr:to>
      <xdr:col>3</xdr:col>
      <xdr:colOff>571499</xdr:colOff>
      <xdr:row>70</xdr:row>
      <xdr:rowOff>38099</xdr:rowOff>
    </xdr:to>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2028824" y="4286249"/>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 :</a:t>
          </a:r>
        </a:p>
      </xdr:txBody>
    </xdr:sp>
    <xdr:clientData/>
  </xdr:twoCellAnchor>
  <xdr:twoCellAnchor>
    <xdr:from>
      <xdr:col>3</xdr:col>
      <xdr:colOff>190499</xdr:colOff>
      <xdr:row>69</xdr:row>
      <xdr:rowOff>152399</xdr:rowOff>
    </xdr:from>
    <xdr:to>
      <xdr:col>3</xdr:col>
      <xdr:colOff>581024</xdr:colOff>
      <xdr:row>71</xdr:row>
      <xdr:rowOff>28574</xdr:rowOff>
    </xdr:to>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2019299" y="4533899"/>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 :</a:t>
          </a:r>
        </a:p>
      </xdr:txBody>
    </xdr:sp>
    <xdr:clientData/>
  </xdr:twoCellAnchor>
  <xdr:twoCellAnchor>
    <xdr:from>
      <xdr:col>4</xdr:col>
      <xdr:colOff>276225</xdr:colOff>
      <xdr:row>48</xdr:row>
      <xdr:rowOff>161925</xdr:rowOff>
    </xdr:from>
    <xdr:to>
      <xdr:col>8</xdr:col>
      <xdr:colOff>542925</xdr:colOff>
      <xdr:row>59</xdr:row>
      <xdr:rowOff>171450</xdr:rowOff>
    </xdr:to>
    <xdr:grpSp>
      <xdr:nvGrpSpPr>
        <xdr:cNvPr id="3079" name="Group 225">
          <a:extLst>
            <a:ext uri="{FF2B5EF4-FFF2-40B4-BE49-F238E27FC236}">
              <a16:creationId xmlns:a16="http://schemas.microsoft.com/office/drawing/2014/main" id="{00000000-0008-0000-0000-0000070C0000}"/>
            </a:ext>
          </a:extLst>
        </xdr:cNvPr>
        <xdr:cNvGrpSpPr>
          <a:grpSpLocks/>
        </xdr:cNvGrpSpPr>
      </xdr:nvGrpSpPr>
      <xdr:grpSpPr bwMode="auto">
        <a:xfrm>
          <a:off x="2790825" y="9763125"/>
          <a:ext cx="2705100" cy="2105025"/>
          <a:chOff x="2756389" y="352427"/>
          <a:chExt cx="2699238" cy="2105023"/>
        </a:xfrm>
      </xdr:grpSpPr>
      <xdr:grpSp>
        <xdr:nvGrpSpPr>
          <xdr:cNvPr id="4200" name="Group 188">
            <a:extLst>
              <a:ext uri="{FF2B5EF4-FFF2-40B4-BE49-F238E27FC236}">
                <a16:creationId xmlns:a16="http://schemas.microsoft.com/office/drawing/2014/main" id="{00000000-0008-0000-0000-000068100000}"/>
              </a:ext>
            </a:extLst>
          </xdr:cNvPr>
          <xdr:cNvGrpSpPr>
            <a:grpSpLocks/>
          </xdr:cNvGrpSpPr>
        </xdr:nvGrpSpPr>
        <xdr:grpSpPr bwMode="auto">
          <a:xfrm>
            <a:off x="2756389" y="352427"/>
            <a:ext cx="2699238" cy="2105023"/>
            <a:chOff x="2390775" y="352427"/>
            <a:chExt cx="3038475" cy="2105023"/>
          </a:xfrm>
        </xdr:grpSpPr>
        <xdr:grpSp>
          <xdr:nvGrpSpPr>
            <xdr:cNvPr id="4222" name="Group 9010">
              <a:extLst>
                <a:ext uri="{FF2B5EF4-FFF2-40B4-BE49-F238E27FC236}">
                  <a16:creationId xmlns:a16="http://schemas.microsoft.com/office/drawing/2014/main" id="{00000000-0008-0000-0000-00007E100000}"/>
                </a:ext>
              </a:extLst>
            </xdr:cNvPr>
            <xdr:cNvGrpSpPr>
              <a:grpSpLocks/>
            </xdr:cNvGrpSpPr>
          </xdr:nvGrpSpPr>
          <xdr:grpSpPr bwMode="auto">
            <a:xfrm>
              <a:off x="2419352" y="352427"/>
              <a:ext cx="2962273" cy="2085973"/>
              <a:chOff x="152" y="82"/>
              <a:chExt cx="370" cy="269"/>
            </a:xfrm>
          </xdr:grpSpPr>
          <xdr:sp macro="" textlink="">
            <xdr:nvSpPr>
              <xdr:cNvPr id="4224" name="Line 2">
                <a:extLst>
                  <a:ext uri="{FF2B5EF4-FFF2-40B4-BE49-F238E27FC236}">
                    <a16:creationId xmlns:a16="http://schemas.microsoft.com/office/drawing/2014/main" id="{00000000-0008-0000-0000-000080100000}"/>
                  </a:ext>
                </a:extLst>
              </xdr:cNvPr>
              <xdr:cNvSpPr>
                <a:spLocks noChangeShapeType="1"/>
              </xdr:cNvSpPr>
            </xdr:nvSpPr>
            <xdr:spPr bwMode="auto">
              <a:xfrm flipH="1">
                <a:off x="287" y="120"/>
                <a:ext cx="14" cy="154"/>
              </a:xfrm>
              <a:prstGeom prst="line">
                <a:avLst/>
              </a:prstGeom>
              <a:noFill/>
              <a:ln w="9525">
                <a:solidFill>
                  <a:srgbClr val="000000"/>
                </a:solidFill>
                <a:round/>
                <a:headEnd/>
                <a:tailEnd/>
              </a:ln>
            </xdr:spPr>
          </xdr:sp>
          <xdr:sp macro="" textlink="">
            <xdr:nvSpPr>
              <xdr:cNvPr id="4225" name="Line 3">
                <a:extLst>
                  <a:ext uri="{FF2B5EF4-FFF2-40B4-BE49-F238E27FC236}">
                    <a16:creationId xmlns:a16="http://schemas.microsoft.com/office/drawing/2014/main" id="{00000000-0008-0000-0000-000081100000}"/>
                  </a:ext>
                </a:extLst>
              </xdr:cNvPr>
              <xdr:cNvSpPr>
                <a:spLocks noChangeShapeType="1"/>
              </xdr:cNvSpPr>
            </xdr:nvSpPr>
            <xdr:spPr bwMode="auto">
              <a:xfrm>
                <a:off x="301" y="118"/>
                <a:ext cx="27" cy="0"/>
              </a:xfrm>
              <a:prstGeom prst="line">
                <a:avLst/>
              </a:prstGeom>
              <a:noFill/>
              <a:ln w="9525">
                <a:solidFill>
                  <a:srgbClr val="000000"/>
                </a:solidFill>
                <a:round/>
                <a:headEnd/>
                <a:tailEnd/>
              </a:ln>
            </xdr:spPr>
          </xdr:sp>
          <xdr:sp macro="" textlink="">
            <xdr:nvSpPr>
              <xdr:cNvPr id="4226" name="Line 4">
                <a:extLst>
                  <a:ext uri="{FF2B5EF4-FFF2-40B4-BE49-F238E27FC236}">
                    <a16:creationId xmlns:a16="http://schemas.microsoft.com/office/drawing/2014/main" id="{00000000-0008-0000-0000-000082100000}"/>
                  </a:ext>
                </a:extLst>
              </xdr:cNvPr>
              <xdr:cNvSpPr>
                <a:spLocks noChangeShapeType="1"/>
              </xdr:cNvSpPr>
            </xdr:nvSpPr>
            <xdr:spPr bwMode="auto">
              <a:xfrm>
                <a:off x="328" y="120"/>
                <a:ext cx="22" cy="153"/>
              </a:xfrm>
              <a:prstGeom prst="line">
                <a:avLst/>
              </a:prstGeom>
              <a:noFill/>
              <a:ln w="9525">
                <a:solidFill>
                  <a:srgbClr val="000000"/>
                </a:solidFill>
                <a:round/>
                <a:headEnd/>
                <a:tailEnd/>
              </a:ln>
            </xdr:spPr>
          </xdr:sp>
          <xdr:sp macro="" textlink="">
            <xdr:nvSpPr>
              <xdr:cNvPr id="4227" name="Line 5">
                <a:extLst>
                  <a:ext uri="{FF2B5EF4-FFF2-40B4-BE49-F238E27FC236}">
                    <a16:creationId xmlns:a16="http://schemas.microsoft.com/office/drawing/2014/main" id="{00000000-0008-0000-0000-000083100000}"/>
                  </a:ext>
                </a:extLst>
              </xdr:cNvPr>
              <xdr:cNvSpPr>
                <a:spLocks noChangeShapeType="1"/>
              </xdr:cNvSpPr>
            </xdr:nvSpPr>
            <xdr:spPr bwMode="auto">
              <a:xfrm flipH="1">
                <a:off x="194" y="274"/>
                <a:ext cx="93" cy="15"/>
              </a:xfrm>
              <a:prstGeom prst="line">
                <a:avLst/>
              </a:prstGeom>
              <a:noFill/>
              <a:ln w="9525">
                <a:solidFill>
                  <a:srgbClr val="000000"/>
                </a:solidFill>
                <a:round/>
                <a:headEnd/>
                <a:tailEnd/>
              </a:ln>
            </xdr:spPr>
          </xdr:sp>
          <xdr:sp macro="" textlink="">
            <xdr:nvSpPr>
              <xdr:cNvPr id="4228" name="Line 6">
                <a:extLst>
                  <a:ext uri="{FF2B5EF4-FFF2-40B4-BE49-F238E27FC236}">
                    <a16:creationId xmlns:a16="http://schemas.microsoft.com/office/drawing/2014/main" id="{00000000-0008-0000-0000-000084100000}"/>
                  </a:ext>
                </a:extLst>
              </xdr:cNvPr>
              <xdr:cNvSpPr>
                <a:spLocks noChangeShapeType="1"/>
              </xdr:cNvSpPr>
            </xdr:nvSpPr>
            <xdr:spPr bwMode="auto">
              <a:xfrm>
                <a:off x="193" y="289"/>
                <a:ext cx="0" cy="21"/>
              </a:xfrm>
              <a:prstGeom prst="line">
                <a:avLst/>
              </a:prstGeom>
              <a:noFill/>
              <a:ln w="9525">
                <a:solidFill>
                  <a:srgbClr val="000000"/>
                </a:solidFill>
                <a:round/>
                <a:headEnd/>
                <a:tailEnd/>
              </a:ln>
            </xdr:spPr>
          </xdr:sp>
          <xdr:sp macro="" textlink="">
            <xdr:nvSpPr>
              <xdr:cNvPr id="4229" name="Line 7">
                <a:extLst>
                  <a:ext uri="{FF2B5EF4-FFF2-40B4-BE49-F238E27FC236}">
                    <a16:creationId xmlns:a16="http://schemas.microsoft.com/office/drawing/2014/main" id="{00000000-0008-0000-0000-000085100000}"/>
                  </a:ext>
                </a:extLst>
              </xdr:cNvPr>
              <xdr:cNvSpPr>
                <a:spLocks noChangeShapeType="1"/>
              </xdr:cNvSpPr>
            </xdr:nvSpPr>
            <xdr:spPr bwMode="auto">
              <a:xfrm>
                <a:off x="193" y="310"/>
                <a:ext cx="289" cy="0"/>
              </a:xfrm>
              <a:prstGeom prst="line">
                <a:avLst/>
              </a:prstGeom>
              <a:noFill/>
              <a:ln w="9525">
                <a:solidFill>
                  <a:srgbClr val="000000"/>
                </a:solidFill>
                <a:round/>
                <a:headEnd/>
                <a:tailEnd/>
              </a:ln>
            </xdr:spPr>
          </xdr:sp>
          <xdr:sp macro="" textlink="">
            <xdr:nvSpPr>
              <xdr:cNvPr id="4230" name="Line 8">
                <a:extLst>
                  <a:ext uri="{FF2B5EF4-FFF2-40B4-BE49-F238E27FC236}">
                    <a16:creationId xmlns:a16="http://schemas.microsoft.com/office/drawing/2014/main" id="{00000000-0008-0000-0000-000086100000}"/>
                  </a:ext>
                </a:extLst>
              </xdr:cNvPr>
              <xdr:cNvSpPr>
                <a:spLocks noChangeShapeType="1"/>
              </xdr:cNvSpPr>
            </xdr:nvSpPr>
            <xdr:spPr bwMode="auto">
              <a:xfrm>
                <a:off x="350" y="274"/>
                <a:ext cx="132" cy="17"/>
              </a:xfrm>
              <a:prstGeom prst="line">
                <a:avLst/>
              </a:prstGeom>
              <a:noFill/>
              <a:ln w="9525">
                <a:solidFill>
                  <a:srgbClr val="000000"/>
                </a:solidFill>
                <a:round/>
                <a:headEnd/>
                <a:tailEnd/>
              </a:ln>
            </xdr:spPr>
          </xdr:sp>
          <xdr:sp macro="" textlink="">
            <xdr:nvSpPr>
              <xdr:cNvPr id="4231" name="Line 9">
                <a:extLst>
                  <a:ext uri="{FF2B5EF4-FFF2-40B4-BE49-F238E27FC236}">
                    <a16:creationId xmlns:a16="http://schemas.microsoft.com/office/drawing/2014/main" id="{00000000-0008-0000-0000-000087100000}"/>
                  </a:ext>
                </a:extLst>
              </xdr:cNvPr>
              <xdr:cNvSpPr>
                <a:spLocks noChangeShapeType="1"/>
              </xdr:cNvSpPr>
            </xdr:nvSpPr>
            <xdr:spPr bwMode="auto">
              <a:xfrm>
                <a:off x="483" y="291"/>
                <a:ext cx="0" cy="19"/>
              </a:xfrm>
              <a:prstGeom prst="line">
                <a:avLst/>
              </a:prstGeom>
              <a:noFill/>
              <a:ln w="9525">
                <a:solidFill>
                  <a:srgbClr val="000000"/>
                </a:solidFill>
                <a:round/>
                <a:headEnd/>
                <a:tailEnd/>
              </a:ln>
            </xdr:spPr>
          </xdr:sp>
          <xdr:sp macro="" textlink="">
            <xdr:nvSpPr>
              <xdr:cNvPr id="4232" name="Line 11">
                <a:extLst>
                  <a:ext uri="{FF2B5EF4-FFF2-40B4-BE49-F238E27FC236}">
                    <a16:creationId xmlns:a16="http://schemas.microsoft.com/office/drawing/2014/main" id="{00000000-0008-0000-0000-000088100000}"/>
                  </a:ext>
                </a:extLst>
              </xdr:cNvPr>
              <xdr:cNvSpPr>
                <a:spLocks noChangeShapeType="1"/>
              </xdr:cNvSpPr>
            </xdr:nvSpPr>
            <xdr:spPr bwMode="auto">
              <a:xfrm>
                <a:off x="328" y="118"/>
                <a:ext cx="125" cy="0"/>
              </a:xfrm>
              <a:prstGeom prst="line">
                <a:avLst/>
              </a:prstGeom>
              <a:noFill/>
              <a:ln w="9525">
                <a:solidFill>
                  <a:srgbClr val="000000"/>
                </a:solidFill>
                <a:round/>
                <a:headEnd/>
                <a:tailEnd/>
              </a:ln>
            </xdr:spPr>
          </xdr:sp>
          <xdr:sp macro="" textlink="">
            <xdr:nvSpPr>
              <xdr:cNvPr id="4233" name="Line 12">
                <a:extLst>
                  <a:ext uri="{FF2B5EF4-FFF2-40B4-BE49-F238E27FC236}">
                    <a16:creationId xmlns:a16="http://schemas.microsoft.com/office/drawing/2014/main" id="{00000000-0008-0000-0000-000089100000}"/>
                  </a:ext>
                </a:extLst>
              </xdr:cNvPr>
              <xdr:cNvSpPr>
                <a:spLocks noChangeShapeType="1"/>
              </xdr:cNvSpPr>
            </xdr:nvSpPr>
            <xdr:spPr bwMode="auto">
              <a:xfrm>
                <a:off x="347" y="242"/>
                <a:ext cx="135" cy="0"/>
              </a:xfrm>
              <a:prstGeom prst="line">
                <a:avLst/>
              </a:prstGeom>
              <a:noFill/>
              <a:ln w="9525">
                <a:solidFill>
                  <a:srgbClr val="000000"/>
                </a:solidFill>
                <a:round/>
                <a:headEnd/>
                <a:tailEnd/>
              </a:ln>
            </xdr:spPr>
          </xdr:sp>
          <xdr:sp macro="" textlink="">
            <xdr:nvSpPr>
              <xdr:cNvPr id="4234" name="Line 13">
                <a:extLst>
                  <a:ext uri="{FF2B5EF4-FFF2-40B4-BE49-F238E27FC236}">
                    <a16:creationId xmlns:a16="http://schemas.microsoft.com/office/drawing/2014/main" id="{00000000-0008-0000-0000-00008A100000}"/>
                  </a:ext>
                </a:extLst>
              </xdr:cNvPr>
              <xdr:cNvSpPr>
                <a:spLocks noChangeShapeType="1"/>
              </xdr:cNvSpPr>
            </xdr:nvSpPr>
            <xdr:spPr bwMode="auto">
              <a:xfrm flipH="1">
                <a:off x="191" y="242"/>
                <a:ext cx="99" cy="0"/>
              </a:xfrm>
              <a:prstGeom prst="line">
                <a:avLst/>
              </a:prstGeom>
              <a:noFill/>
              <a:ln w="9525">
                <a:solidFill>
                  <a:srgbClr val="000000"/>
                </a:solidFill>
                <a:round/>
                <a:headEnd/>
                <a:tailEnd/>
              </a:ln>
            </xdr:spPr>
          </xdr:sp>
          <xdr:sp macro="" textlink="">
            <xdr:nvSpPr>
              <xdr:cNvPr id="4235" name="Line 14">
                <a:extLst>
                  <a:ext uri="{FF2B5EF4-FFF2-40B4-BE49-F238E27FC236}">
                    <a16:creationId xmlns:a16="http://schemas.microsoft.com/office/drawing/2014/main" id="{00000000-0008-0000-0000-00008B100000}"/>
                  </a:ext>
                </a:extLst>
              </xdr:cNvPr>
              <xdr:cNvSpPr>
                <a:spLocks noChangeShapeType="1"/>
              </xdr:cNvSpPr>
            </xdr:nvSpPr>
            <xdr:spPr bwMode="auto">
              <a:xfrm flipH="1">
                <a:off x="213" y="242"/>
                <a:ext cx="18" cy="7"/>
              </a:xfrm>
              <a:prstGeom prst="line">
                <a:avLst/>
              </a:prstGeom>
              <a:noFill/>
              <a:ln w="9525">
                <a:solidFill>
                  <a:srgbClr val="000000"/>
                </a:solidFill>
                <a:round/>
                <a:headEnd/>
                <a:tailEnd/>
              </a:ln>
            </xdr:spPr>
          </xdr:sp>
          <xdr:sp macro="" textlink="">
            <xdr:nvSpPr>
              <xdr:cNvPr id="4236" name="Line 15">
                <a:extLst>
                  <a:ext uri="{FF2B5EF4-FFF2-40B4-BE49-F238E27FC236}">
                    <a16:creationId xmlns:a16="http://schemas.microsoft.com/office/drawing/2014/main" id="{00000000-0008-0000-0000-00008C100000}"/>
                  </a:ext>
                </a:extLst>
              </xdr:cNvPr>
              <xdr:cNvSpPr>
                <a:spLocks noChangeShapeType="1"/>
              </xdr:cNvSpPr>
            </xdr:nvSpPr>
            <xdr:spPr bwMode="auto">
              <a:xfrm flipH="1">
                <a:off x="220" y="243"/>
                <a:ext cx="18" cy="7"/>
              </a:xfrm>
              <a:prstGeom prst="line">
                <a:avLst/>
              </a:prstGeom>
              <a:noFill/>
              <a:ln w="9525">
                <a:solidFill>
                  <a:srgbClr val="000000"/>
                </a:solidFill>
                <a:round/>
                <a:headEnd/>
                <a:tailEnd/>
              </a:ln>
            </xdr:spPr>
          </xdr:sp>
          <xdr:sp macro="" textlink="">
            <xdr:nvSpPr>
              <xdr:cNvPr id="4237" name="Line 16">
                <a:extLst>
                  <a:ext uri="{FF2B5EF4-FFF2-40B4-BE49-F238E27FC236}">
                    <a16:creationId xmlns:a16="http://schemas.microsoft.com/office/drawing/2014/main" id="{00000000-0008-0000-0000-00008D100000}"/>
                  </a:ext>
                </a:extLst>
              </xdr:cNvPr>
              <xdr:cNvSpPr>
                <a:spLocks noChangeShapeType="1"/>
              </xdr:cNvSpPr>
            </xdr:nvSpPr>
            <xdr:spPr bwMode="auto">
              <a:xfrm>
                <a:off x="249" y="243"/>
                <a:ext cx="12" cy="7"/>
              </a:xfrm>
              <a:prstGeom prst="line">
                <a:avLst/>
              </a:prstGeom>
              <a:noFill/>
              <a:ln w="9525">
                <a:solidFill>
                  <a:srgbClr val="000000"/>
                </a:solidFill>
                <a:round/>
                <a:headEnd/>
                <a:tailEnd/>
              </a:ln>
            </xdr:spPr>
          </xdr:sp>
          <xdr:sp macro="" textlink="">
            <xdr:nvSpPr>
              <xdr:cNvPr id="4238" name="Line 17">
                <a:extLst>
                  <a:ext uri="{FF2B5EF4-FFF2-40B4-BE49-F238E27FC236}">
                    <a16:creationId xmlns:a16="http://schemas.microsoft.com/office/drawing/2014/main" id="{00000000-0008-0000-0000-00008E100000}"/>
                  </a:ext>
                </a:extLst>
              </xdr:cNvPr>
              <xdr:cNvSpPr>
                <a:spLocks noChangeShapeType="1"/>
              </xdr:cNvSpPr>
            </xdr:nvSpPr>
            <xdr:spPr bwMode="auto">
              <a:xfrm>
                <a:off x="239" y="242"/>
                <a:ext cx="12" cy="7"/>
              </a:xfrm>
              <a:prstGeom prst="line">
                <a:avLst/>
              </a:prstGeom>
              <a:noFill/>
              <a:ln w="9525">
                <a:solidFill>
                  <a:srgbClr val="000000"/>
                </a:solidFill>
                <a:round/>
                <a:headEnd/>
                <a:tailEnd/>
              </a:ln>
            </xdr:spPr>
          </xdr:sp>
          <xdr:sp macro="" textlink="">
            <xdr:nvSpPr>
              <xdr:cNvPr id="4239" name="Line 18">
                <a:extLst>
                  <a:ext uri="{FF2B5EF4-FFF2-40B4-BE49-F238E27FC236}">
                    <a16:creationId xmlns:a16="http://schemas.microsoft.com/office/drawing/2014/main" id="{00000000-0008-0000-0000-00008F100000}"/>
                  </a:ext>
                </a:extLst>
              </xdr:cNvPr>
              <xdr:cNvSpPr>
                <a:spLocks noChangeShapeType="1"/>
              </xdr:cNvSpPr>
            </xdr:nvSpPr>
            <xdr:spPr bwMode="auto">
              <a:xfrm>
                <a:off x="181" y="117"/>
                <a:ext cx="0" cy="123"/>
              </a:xfrm>
              <a:prstGeom prst="line">
                <a:avLst/>
              </a:prstGeom>
              <a:noFill/>
              <a:ln w="9525">
                <a:solidFill>
                  <a:srgbClr val="000000"/>
                </a:solidFill>
                <a:round/>
                <a:headEnd/>
                <a:tailEnd/>
              </a:ln>
            </xdr:spPr>
          </xdr:sp>
          <xdr:sp macro="" textlink="">
            <xdr:nvSpPr>
              <xdr:cNvPr id="4240" name="Line 19">
                <a:extLst>
                  <a:ext uri="{FF2B5EF4-FFF2-40B4-BE49-F238E27FC236}">
                    <a16:creationId xmlns:a16="http://schemas.microsoft.com/office/drawing/2014/main" id="{00000000-0008-0000-0000-000090100000}"/>
                  </a:ext>
                </a:extLst>
              </xdr:cNvPr>
              <xdr:cNvSpPr>
                <a:spLocks noChangeShapeType="1"/>
              </xdr:cNvSpPr>
            </xdr:nvSpPr>
            <xdr:spPr bwMode="auto">
              <a:xfrm>
                <a:off x="176" y="116"/>
                <a:ext cx="11" cy="0"/>
              </a:xfrm>
              <a:prstGeom prst="line">
                <a:avLst/>
              </a:prstGeom>
              <a:noFill/>
              <a:ln w="9525">
                <a:solidFill>
                  <a:srgbClr val="000000"/>
                </a:solidFill>
                <a:round/>
                <a:headEnd/>
                <a:tailEnd/>
              </a:ln>
            </xdr:spPr>
          </xdr:sp>
          <xdr:sp macro="" textlink="">
            <xdr:nvSpPr>
              <xdr:cNvPr id="4241" name="Line 20">
                <a:extLst>
                  <a:ext uri="{FF2B5EF4-FFF2-40B4-BE49-F238E27FC236}">
                    <a16:creationId xmlns:a16="http://schemas.microsoft.com/office/drawing/2014/main" id="{00000000-0008-0000-0000-000091100000}"/>
                  </a:ext>
                </a:extLst>
              </xdr:cNvPr>
              <xdr:cNvSpPr>
                <a:spLocks noChangeShapeType="1"/>
              </xdr:cNvSpPr>
            </xdr:nvSpPr>
            <xdr:spPr bwMode="auto">
              <a:xfrm flipH="1">
                <a:off x="177" y="112"/>
                <a:ext cx="8" cy="8"/>
              </a:xfrm>
              <a:prstGeom prst="line">
                <a:avLst/>
              </a:prstGeom>
              <a:noFill/>
              <a:ln w="9525">
                <a:solidFill>
                  <a:srgbClr val="000000"/>
                </a:solidFill>
                <a:round/>
                <a:headEnd/>
                <a:tailEnd/>
              </a:ln>
            </xdr:spPr>
          </xdr:sp>
          <xdr:sp macro="" textlink="">
            <xdr:nvSpPr>
              <xdr:cNvPr id="4242" name="Line 21">
                <a:extLst>
                  <a:ext uri="{FF2B5EF4-FFF2-40B4-BE49-F238E27FC236}">
                    <a16:creationId xmlns:a16="http://schemas.microsoft.com/office/drawing/2014/main" id="{00000000-0008-0000-0000-000092100000}"/>
                  </a:ext>
                </a:extLst>
              </xdr:cNvPr>
              <xdr:cNvSpPr>
                <a:spLocks noChangeShapeType="1"/>
              </xdr:cNvSpPr>
            </xdr:nvSpPr>
            <xdr:spPr bwMode="auto">
              <a:xfrm>
                <a:off x="176" y="242"/>
                <a:ext cx="11" cy="0"/>
              </a:xfrm>
              <a:prstGeom prst="line">
                <a:avLst/>
              </a:prstGeom>
              <a:noFill/>
              <a:ln w="9525">
                <a:solidFill>
                  <a:srgbClr val="000000"/>
                </a:solidFill>
                <a:round/>
                <a:headEnd/>
                <a:tailEnd/>
              </a:ln>
            </xdr:spPr>
          </xdr:sp>
          <xdr:sp macro="" textlink="">
            <xdr:nvSpPr>
              <xdr:cNvPr id="4243" name="Line 22">
                <a:extLst>
                  <a:ext uri="{FF2B5EF4-FFF2-40B4-BE49-F238E27FC236}">
                    <a16:creationId xmlns:a16="http://schemas.microsoft.com/office/drawing/2014/main" id="{00000000-0008-0000-0000-000093100000}"/>
                  </a:ext>
                </a:extLst>
              </xdr:cNvPr>
              <xdr:cNvSpPr>
                <a:spLocks noChangeShapeType="1"/>
              </xdr:cNvSpPr>
            </xdr:nvSpPr>
            <xdr:spPr bwMode="auto">
              <a:xfrm flipH="1">
                <a:off x="177" y="238"/>
                <a:ext cx="8" cy="7"/>
              </a:xfrm>
              <a:prstGeom prst="line">
                <a:avLst/>
              </a:prstGeom>
              <a:noFill/>
              <a:ln w="9525">
                <a:solidFill>
                  <a:srgbClr val="000000"/>
                </a:solidFill>
                <a:round/>
                <a:headEnd/>
                <a:tailEnd/>
              </a:ln>
            </xdr:spPr>
          </xdr:sp>
          <xdr:sp macro="" textlink="">
            <xdr:nvSpPr>
              <xdr:cNvPr id="4244" name="Line 23">
                <a:extLst>
                  <a:ext uri="{FF2B5EF4-FFF2-40B4-BE49-F238E27FC236}">
                    <a16:creationId xmlns:a16="http://schemas.microsoft.com/office/drawing/2014/main" id="{00000000-0008-0000-0000-000094100000}"/>
                  </a:ext>
                </a:extLst>
              </xdr:cNvPr>
              <xdr:cNvSpPr>
                <a:spLocks noChangeShapeType="1"/>
              </xdr:cNvSpPr>
            </xdr:nvSpPr>
            <xdr:spPr bwMode="auto">
              <a:xfrm>
                <a:off x="158" y="120"/>
                <a:ext cx="0" cy="187"/>
              </a:xfrm>
              <a:prstGeom prst="line">
                <a:avLst/>
              </a:prstGeom>
              <a:noFill/>
              <a:ln w="9525">
                <a:solidFill>
                  <a:srgbClr val="000000"/>
                </a:solidFill>
                <a:round/>
                <a:headEnd/>
                <a:tailEnd/>
              </a:ln>
            </xdr:spPr>
          </xdr:sp>
          <xdr:sp macro="" textlink="">
            <xdr:nvSpPr>
              <xdr:cNvPr id="4245" name="Line 24">
                <a:extLst>
                  <a:ext uri="{FF2B5EF4-FFF2-40B4-BE49-F238E27FC236}">
                    <a16:creationId xmlns:a16="http://schemas.microsoft.com/office/drawing/2014/main" id="{00000000-0008-0000-0000-000095100000}"/>
                  </a:ext>
                </a:extLst>
              </xdr:cNvPr>
              <xdr:cNvSpPr>
                <a:spLocks noChangeShapeType="1"/>
              </xdr:cNvSpPr>
            </xdr:nvSpPr>
            <xdr:spPr bwMode="auto">
              <a:xfrm>
                <a:off x="152" y="117"/>
                <a:ext cx="13" cy="0"/>
              </a:xfrm>
              <a:prstGeom prst="line">
                <a:avLst/>
              </a:prstGeom>
              <a:noFill/>
              <a:ln w="9525">
                <a:solidFill>
                  <a:srgbClr val="000000"/>
                </a:solidFill>
                <a:round/>
                <a:headEnd/>
                <a:tailEnd/>
              </a:ln>
            </xdr:spPr>
          </xdr:sp>
          <xdr:sp macro="" textlink="">
            <xdr:nvSpPr>
              <xdr:cNvPr id="4246" name="Line 25">
                <a:extLst>
                  <a:ext uri="{FF2B5EF4-FFF2-40B4-BE49-F238E27FC236}">
                    <a16:creationId xmlns:a16="http://schemas.microsoft.com/office/drawing/2014/main" id="{00000000-0008-0000-0000-000096100000}"/>
                  </a:ext>
                </a:extLst>
              </xdr:cNvPr>
              <xdr:cNvSpPr>
                <a:spLocks noChangeShapeType="1"/>
              </xdr:cNvSpPr>
            </xdr:nvSpPr>
            <xdr:spPr bwMode="auto">
              <a:xfrm flipH="1">
                <a:off x="153" y="111"/>
                <a:ext cx="10" cy="12"/>
              </a:xfrm>
              <a:prstGeom prst="line">
                <a:avLst/>
              </a:prstGeom>
              <a:noFill/>
              <a:ln w="9525">
                <a:solidFill>
                  <a:srgbClr val="000000"/>
                </a:solidFill>
                <a:round/>
                <a:headEnd/>
                <a:tailEnd/>
              </a:ln>
            </xdr:spPr>
          </xdr:sp>
          <xdr:sp macro="" textlink="">
            <xdr:nvSpPr>
              <xdr:cNvPr id="4247" name="Line 26">
                <a:extLst>
                  <a:ext uri="{FF2B5EF4-FFF2-40B4-BE49-F238E27FC236}">
                    <a16:creationId xmlns:a16="http://schemas.microsoft.com/office/drawing/2014/main" id="{00000000-0008-0000-0000-000097100000}"/>
                  </a:ext>
                </a:extLst>
              </xdr:cNvPr>
              <xdr:cNvSpPr>
                <a:spLocks noChangeShapeType="1"/>
              </xdr:cNvSpPr>
            </xdr:nvSpPr>
            <xdr:spPr bwMode="auto">
              <a:xfrm>
                <a:off x="152" y="310"/>
                <a:ext cx="13" cy="0"/>
              </a:xfrm>
              <a:prstGeom prst="line">
                <a:avLst/>
              </a:prstGeom>
              <a:noFill/>
              <a:ln w="9525">
                <a:solidFill>
                  <a:srgbClr val="000000"/>
                </a:solidFill>
                <a:round/>
                <a:headEnd/>
                <a:tailEnd/>
              </a:ln>
            </xdr:spPr>
          </xdr:sp>
          <xdr:sp macro="" textlink="">
            <xdr:nvSpPr>
              <xdr:cNvPr id="4248" name="Line 27">
                <a:extLst>
                  <a:ext uri="{FF2B5EF4-FFF2-40B4-BE49-F238E27FC236}">
                    <a16:creationId xmlns:a16="http://schemas.microsoft.com/office/drawing/2014/main" id="{00000000-0008-0000-0000-000098100000}"/>
                  </a:ext>
                </a:extLst>
              </xdr:cNvPr>
              <xdr:cNvSpPr>
                <a:spLocks noChangeShapeType="1"/>
              </xdr:cNvSpPr>
            </xdr:nvSpPr>
            <xdr:spPr bwMode="auto">
              <a:xfrm flipH="1">
                <a:off x="153" y="303"/>
                <a:ext cx="10" cy="13"/>
              </a:xfrm>
              <a:prstGeom prst="line">
                <a:avLst/>
              </a:prstGeom>
              <a:noFill/>
              <a:ln w="9525">
                <a:solidFill>
                  <a:srgbClr val="000000"/>
                </a:solidFill>
                <a:round/>
                <a:headEnd/>
                <a:tailEnd/>
              </a:ln>
            </xdr:spPr>
          </xdr:sp>
          <xdr:sp macro="" textlink="">
            <xdr:nvSpPr>
              <xdr:cNvPr id="4249" name="Line 28">
                <a:extLst>
                  <a:ext uri="{FF2B5EF4-FFF2-40B4-BE49-F238E27FC236}">
                    <a16:creationId xmlns:a16="http://schemas.microsoft.com/office/drawing/2014/main" id="{00000000-0008-0000-0000-000099100000}"/>
                  </a:ext>
                </a:extLst>
              </xdr:cNvPr>
              <xdr:cNvSpPr>
                <a:spLocks noChangeShapeType="1"/>
              </xdr:cNvSpPr>
            </xdr:nvSpPr>
            <xdr:spPr bwMode="auto">
              <a:xfrm rot="-5400000">
                <a:off x="338" y="199"/>
                <a:ext cx="0" cy="284"/>
              </a:xfrm>
              <a:prstGeom prst="line">
                <a:avLst/>
              </a:prstGeom>
              <a:noFill/>
              <a:ln w="9525">
                <a:solidFill>
                  <a:srgbClr val="000000"/>
                </a:solidFill>
                <a:round/>
                <a:headEnd/>
                <a:tailEnd/>
              </a:ln>
            </xdr:spPr>
          </xdr:sp>
          <xdr:sp macro="" textlink="">
            <xdr:nvSpPr>
              <xdr:cNvPr id="4250" name="Line 29">
                <a:extLst>
                  <a:ext uri="{FF2B5EF4-FFF2-40B4-BE49-F238E27FC236}">
                    <a16:creationId xmlns:a16="http://schemas.microsoft.com/office/drawing/2014/main" id="{00000000-0008-0000-0000-00009A100000}"/>
                  </a:ext>
                </a:extLst>
              </xdr:cNvPr>
              <xdr:cNvSpPr>
                <a:spLocks noChangeShapeType="1"/>
              </xdr:cNvSpPr>
            </xdr:nvSpPr>
            <xdr:spPr bwMode="auto">
              <a:xfrm rot="-5400000">
                <a:off x="186" y="339"/>
                <a:ext cx="14" cy="0"/>
              </a:xfrm>
              <a:prstGeom prst="line">
                <a:avLst/>
              </a:prstGeom>
              <a:noFill/>
              <a:ln w="9525">
                <a:solidFill>
                  <a:srgbClr val="000000"/>
                </a:solidFill>
                <a:round/>
                <a:headEnd/>
                <a:tailEnd/>
              </a:ln>
            </xdr:spPr>
          </xdr:sp>
          <xdr:sp macro="" textlink="">
            <xdr:nvSpPr>
              <xdr:cNvPr id="4251" name="Line 30">
                <a:extLst>
                  <a:ext uri="{FF2B5EF4-FFF2-40B4-BE49-F238E27FC236}">
                    <a16:creationId xmlns:a16="http://schemas.microsoft.com/office/drawing/2014/main" id="{00000000-0008-0000-0000-00009B100000}"/>
                  </a:ext>
                </a:extLst>
              </xdr:cNvPr>
              <xdr:cNvSpPr>
                <a:spLocks noChangeShapeType="1"/>
              </xdr:cNvSpPr>
            </xdr:nvSpPr>
            <xdr:spPr bwMode="auto">
              <a:xfrm rot="16200000" flipH="1">
                <a:off x="188" y="332"/>
                <a:ext cx="10" cy="18"/>
              </a:xfrm>
              <a:prstGeom prst="line">
                <a:avLst/>
              </a:prstGeom>
              <a:noFill/>
              <a:ln w="9525">
                <a:solidFill>
                  <a:srgbClr val="000000"/>
                </a:solidFill>
                <a:round/>
                <a:headEnd/>
                <a:tailEnd/>
              </a:ln>
            </xdr:spPr>
          </xdr:sp>
          <xdr:sp macro="" textlink="">
            <xdr:nvSpPr>
              <xdr:cNvPr id="4252" name="Line 31">
                <a:extLst>
                  <a:ext uri="{FF2B5EF4-FFF2-40B4-BE49-F238E27FC236}">
                    <a16:creationId xmlns:a16="http://schemas.microsoft.com/office/drawing/2014/main" id="{00000000-0008-0000-0000-00009C100000}"/>
                  </a:ext>
                </a:extLst>
              </xdr:cNvPr>
              <xdr:cNvSpPr>
                <a:spLocks noChangeShapeType="1"/>
              </xdr:cNvSpPr>
            </xdr:nvSpPr>
            <xdr:spPr bwMode="auto">
              <a:xfrm rot="-5400000">
                <a:off x="475" y="339"/>
                <a:ext cx="14" cy="0"/>
              </a:xfrm>
              <a:prstGeom prst="line">
                <a:avLst/>
              </a:prstGeom>
              <a:noFill/>
              <a:ln w="9525">
                <a:solidFill>
                  <a:srgbClr val="000000"/>
                </a:solidFill>
                <a:round/>
                <a:headEnd/>
                <a:tailEnd/>
              </a:ln>
            </xdr:spPr>
          </xdr:sp>
          <xdr:sp macro="" textlink="">
            <xdr:nvSpPr>
              <xdr:cNvPr id="4253" name="Line 32">
                <a:extLst>
                  <a:ext uri="{FF2B5EF4-FFF2-40B4-BE49-F238E27FC236}">
                    <a16:creationId xmlns:a16="http://schemas.microsoft.com/office/drawing/2014/main" id="{00000000-0008-0000-0000-00009D100000}"/>
                  </a:ext>
                </a:extLst>
              </xdr:cNvPr>
              <xdr:cNvSpPr>
                <a:spLocks noChangeShapeType="1"/>
              </xdr:cNvSpPr>
            </xdr:nvSpPr>
            <xdr:spPr bwMode="auto">
              <a:xfrm rot="16200000" flipH="1">
                <a:off x="478" y="331"/>
                <a:ext cx="10" cy="19"/>
              </a:xfrm>
              <a:prstGeom prst="line">
                <a:avLst/>
              </a:prstGeom>
              <a:noFill/>
              <a:ln w="9525">
                <a:solidFill>
                  <a:srgbClr val="000000"/>
                </a:solidFill>
                <a:round/>
                <a:headEnd/>
                <a:tailEnd/>
              </a:ln>
            </xdr:spPr>
          </xdr:sp>
          <xdr:sp macro="" textlink="">
            <xdr:nvSpPr>
              <xdr:cNvPr id="4254" name="Line 33">
                <a:extLst>
                  <a:ext uri="{FF2B5EF4-FFF2-40B4-BE49-F238E27FC236}">
                    <a16:creationId xmlns:a16="http://schemas.microsoft.com/office/drawing/2014/main" id="{00000000-0008-0000-0000-00009E100000}"/>
                  </a:ext>
                </a:extLst>
              </xdr:cNvPr>
              <xdr:cNvSpPr>
                <a:spLocks noChangeShapeType="1"/>
              </xdr:cNvSpPr>
            </xdr:nvSpPr>
            <xdr:spPr bwMode="auto">
              <a:xfrm rot="-5400000">
                <a:off x="241" y="274"/>
                <a:ext cx="0" cy="95"/>
              </a:xfrm>
              <a:prstGeom prst="line">
                <a:avLst/>
              </a:prstGeom>
              <a:noFill/>
              <a:ln w="9525">
                <a:solidFill>
                  <a:srgbClr val="000000"/>
                </a:solidFill>
                <a:round/>
                <a:headEnd/>
                <a:tailEnd/>
              </a:ln>
            </xdr:spPr>
          </xdr:sp>
          <xdr:sp macro="" textlink="">
            <xdr:nvSpPr>
              <xdr:cNvPr id="4255" name="Line 34">
                <a:extLst>
                  <a:ext uri="{FF2B5EF4-FFF2-40B4-BE49-F238E27FC236}">
                    <a16:creationId xmlns:a16="http://schemas.microsoft.com/office/drawing/2014/main" id="{00000000-0008-0000-0000-00009F100000}"/>
                  </a:ext>
                </a:extLst>
              </xdr:cNvPr>
              <xdr:cNvSpPr>
                <a:spLocks noChangeShapeType="1"/>
              </xdr:cNvSpPr>
            </xdr:nvSpPr>
            <xdr:spPr bwMode="auto">
              <a:xfrm rot="-5400000">
                <a:off x="186" y="320"/>
                <a:ext cx="14" cy="0"/>
              </a:xfrm>
              <a:prstGeom prst="line">
                <a:avLst/>
              </a:prstGeom>
              <a:noFill/>
              <a:ln w="9525">
                <a:solidFill>
                  <a:srgbClr val="000000"/>
                </a:solidFill>
                <a:round/>
                <a:headEnd/>
                <a:tailEnd/>
              </a:ln>
            </xdr:spPr>
          </xdr:sp>
          <xdr:sp macro="" textlink="">
            <xdr:nvSpPr>
              <xdr:cNvPr id="4256" name="Line 35">
                <a:extLst>
                  <a:ext uri="{FF2B5EF4-FFF2-40B4-BE49-F238E27FC236}">
                    <a16:creationId xmlns:a16="http://schemas.microsoft.com/office/drawing/2014/main" id="{00000000-0008-0000-0000-0000A0100000}"/>
                  </a:ext>
                </a:extLst>
              </xdr:cNvPr>
              <xdr:cNvSpPr>
                <a:spLocks noChangeShapeType="1"/>
              </xdr:cNvSpPr>
            </xdr:nvSpPr>
            <xdr:spPr bwMode="auto">
              <a:xfrm rot="16200000" flipH="1">
                <a:off x="188" y="319"/>
                <a:ext cx="10" cy="6"/>
              </a:xfrm>
              <a:prstGeom prst="line">
                <a:avLst/>
              </a:prstGeom>
              <a:noFill/>
              <a:ln w="9525">
                <a:solidFill>
                  <a:srgbClr val="000000"/>
                </a:solidFill>
                <a:round/>
                <a:headEnd/>
                <a:tailEnd/>
              </a:ln>
            </xdr:spPr>
          </xdr:sp>
          <xdr:sp macro="" textlink="">
            <xdr:nvSpPr>
              <xdr:cNvPr id="4257" name="Line 36">
                <a:extLst>
                  <a:ext uri="{FF2B5EF4-FFF2-40B4-BE49-F238E27FC236}">
                    <a16:creationId xmlns:a16="http://schemas.microsoft.com/office/drawing/2014/main" id="{00000000-0008-0000-0000-0000A1100000}"/>
                  </a:ext>
                </a:extLst>
              </xdr:cNvPr>
              <xdr:cNvSpPr>
                <a:spLocks noChangeShapeType="1"/>
              </xdr:cNvSpPr>
            </xdr:nvSpPr>
            <xdr:spPr bwMode="auto">
              <a:xfrm rot="-5400000">
                <a:off x="281" y="320"/>
                <a:ext cx="14" cy="0"/>
              </a:xfrm>
              <a:prstGeom prst="line">
                <a:avLst/>
              </a:prstGeom>
              <a:noFill/>
              <a:ln w="9525">
                <a:solidFill>
                  <a:srgbClr val="000000"/>
                </a:solidFill>
                <a:round/>
                <a:headEnd/>
                <a:tailEnd/>
              </a:ln>
            </xdr:spPr>
          </xdr:sp>
          <xdr:sp macro="" textlink="">
            <xdr:nvSpPr>
              <xdr:cNvPr id="4258" name="Line 37">
                <a:extLst>
                  <a:ext uri="{FF2B5EF4-FFF2-40B4-BE49-F238E27FC236}">
                    <a16:creationId xmlns:a16="http://schemas.microsoft.com/office/drawing/2014/main" id="{00000000-0008-0000-0000-0000A2100000}"/>
                  </a:ext>
                </a:extLst>
              </xdr:cNvPr>
              <xdr:cNvSpPr>
                <a:spLocks noChangeShapeType="1"/>
              </xdr:cNvSpPr>
            </xdr:nvSpPr>
            <xdr:spPr bwMode="auto">
              <a:xfrm rot="16200000" flipH="1">
                <a:off x="284" y="318"/>
                <a:ext cx="10" cy="7"/>
              </a:xfrm>
              <a:prstGeom prst="line">
                <a:avLst/>
              </a:prstGeom>
              <a:noFill/>
              <a:ln w="9525">
                <a:solidFill>
                  <a:srgbClr val="000000"/>
                </a:solidFill>
                <a:round/>
                <a:headEnd/>
                <a:tailEnd/>
              </a:ln>
            </xdr:spPr>
          </xdr:sp>
          <xdr:sp macro="" textlink="">
            <xdr:nvSpPr>
              <xdr:cNvPr id="4259" name="Line 38">
                <a:extLst>
                  <a:ext uri="{FF2B5EF4-FFF2-40B4-BE49-F238E27FC236}">
                    <a16:creationId xmlns:a16="http://schemas.microsoft.com/office/drawing/2014/main" id="{00000000-0008-0000-0000-0000A3100000}"/>
                  </a:ext>
                </a:extLst>
              </xdr:cNvPr>
              <xdr:cNvSpPr>
                <a:spLocks noChangeShapeType="1"/>
              </xdr:cNvSpPr>
            </xdr:nvSpPr>
            <xdr:spPr bwMode="auto">
              <a:xfrm rot="-5400000">
                <a:off x="418" y="258"/>
                <a:ext cx="0" cy="126"/>
              </a:xfrm>
              <a:prstGeom prst="line">
                <a:avLst/>
              </a:prstGeom>
              <a:noFill/>
              <a:ln w="9525">
                <a:solidFill>
                  <a:srgbClr val="000000"/>
                </a:solidFill>
                <a:round/>
                <a:headEnd/>
                <a:tailEnd/>
              </a:ln>
            </xdr:spPr>
          </xdr:sp>
          <xdr:sp macro="" textlink="">
            <xdr:nvSpPr>
              <xdr:cNvPr id="4260" name="Line 39">
                <a:extLst>
                  <a:ext uri="{FF2B5EF4-FFF2-40B4-BE49-F238E27FC236}">
                    <a16:creationId xmlns:a16="http://schemas.microsoft.com/office/drawing/2014/main" id="{00000000-0008-0000-0000-0000A4100000}"/>
                  </a:ext>
                </a:extLst>
              </xdr:cNvPr>
              <xdr:cNvSpPr>
                <a:spLocks noChangeShapeType="1"/>
              </xdr:cNvSpPr>
            </xdr:nvSpPr>
            <xdr:spPr bwMode="auto">
              <a:xfrm rot="-5400000">
                <a:off x="345" y="319"/>
                <a:ext cx="14" cy="0"/>
              </a:xfrm>
              <a:prstGeom prst="line">
                <a:avLst/>
              </a:prstGeom>
              <a:noFill/>
              <a:ln w="9525">
                <a:solidFill>
                  <a:srgbClr val="000000"/>
                </a:solidFill>
                <a:round/>
                <a:headEnd/>
                <a:tailEnd/>
              </a:ln>
            </xdr:spPr>
          </xdr:sp>
          <xdr:sp macro="" textlink="">
            <xdr:nvSpPr>
              <xdr:cNvPr id="4261" name="Line 40">
                <a:extLst>
                  <a:ext uri="{FF2B5EF4-FFF2-40B4-BE49-F238E27FC236}">
                    <a16:creationId xmlns:a16="http://schemas.microsoft.com/office/drawing/2014/main" id="{00000000-0008-0000-0000-0000A5100000}"/>
                  </a:ext>
                </a:extLst>
              </xdr:cNvPr>
              <xdr:cNvSpPr>
                <a:spLocks noChangeShapeType="1"/>
              </xdr:cNvSpPr>
            </xdr:nvSpPr>
            <xdr:spPr bwMode="auto">
              <a:xfrm rot="16200000" flipH="1">
                <a:off x="348" y="317"/>
                <a:ext cx="10" cy="8"/>
              </a:xfrm>
              <a:prstGeom prst="line">
                <a:avLst/>
              </a:prstGeom>
              <a:noFill/>
              <a:ln w="9525">
                <a:solidFill>
                  <a:srgbClr val="000000"/>
                </a:solidFill>
                <a:round/>
                <a:headEnd/>
                <a:tailEnd/>
              </a:ln>
            </xdr:spPr>
          </xdr:sp>
          <xdr:sp macro="" textlink="">
            <xdr:nvSpPr>
              <xdr:cNvPr id="4262" name="Line 41">
                <a:extLst>
                  <a:ext uri="{FF2B5EF4-FFF2-40B4-BE49-F238E27FC236}">
                    <a16:creationId xmlns:a16="http://schemas.microsoft.com/office/drawing/2014/main" id="{00000000-0008-0000-0000-0000A6100000}"/>
                  </a:ext>
                </a:extLst>
              </xdr:cNvPr>
              <xdr:cNvSpPr>
                <a:spLocks noChangeShapeType="1"/>
              </xdr:cNvSpPr>
            </xdr:nvSpPr>
            <xdr:spPr bwMode="auto">
              <a:xfrm rot="-5400000">
                <a:off x="476" y="319"/>
                <a:ext cx="14" cy="0"/>
              </a:xfrm>
              <a:prstGeom prst="line">
                <a:avLst/>
              </a:prstGeom>
              <a:noFill/>
              <a:ln w="9525">
                <a:solidFill>
                  <a:srgbClr val="000000"/>
                </a:solidFill>
                <a:round/>
                <a:headEnd/>
                <a:tailEnd/>
              </a:ln>
            </xdr:spPr>
          </xdr:sp>
          <xdr:sp macro="" textlink="">
            <xdr:nvSpPr>
              <xdr:cNvPr id="4263" name="Line 42">
                <a:extLst>
                  <a:ext uri="{FF2B5EF4-FFF2-40B4-BE49-F238E27FC236}">
                    <a16:creationId xmlns:a16="http://schemas.microsoft.com/office/drawing/2014/main" id="{00000000-0008-0000-0000-0000A7100000}"/>
                  </a:ext>
                </a:extLst>
              </xdr:cNvPr>
              <xdr:cNvSpPr>
                <a:spLocks noChangeShapeType="1"/>
              </xdr:cNvSpPr>
            </xdr:nvSpPr>
            <xdr:spPr bwMode="auto">
              <a:xfrm rot="16200000" flipH="1">
                <a:off x="478" y="316"/>
                <a:ext cx="10" cy="9"/>
              </a:xfrm>
              <a:prstGeom prst="line">
                <a:avLst/>
              </a:prstGeom>
              <a:noFill/>
              <a:ln w="9525">
                <a:solidFill>
                  <a:srgbClr val="000000"/>
                </a:solidFill>
                <a:round/>
                <a:headEnd/>
                <a:tailEnd/>
              </a:ln>
            </xdr:spPr>
          </xdr:sp>
          <xdr:sp macro="" textlink="">
            <xdr:nvSpPr>
              <xdr:cNvPr id="4264" name="Line 43">
                <a:extLst>
                  <a:ext uri="{FF2B5EF4-FFF2-40B4-BE49-F238E27FC236}">
                    <a16:creationId xmlns:a16="http://schemas.microsoft.com/office/drawing/2014/main" id="{00000000-0008-0000-0000-0000A8100000}"/>
                  </a:ext>
                </a:extLst>
              </xdr:cNvPr>
              <xdr:cNvSpPr>
                <a:spLocks noChangeShapeType="1"/>
              </xdr:cNvSpPr>
            </xdr:nvSpPr>
            <xdr:spPr bwMode="auto">
              <a:xfrm rot="-5400000">
                <a:off x="314" y="89"/>
                <a:ext cx="0" cy="28"/>
              </a:xfrm>
              <a:prstGeom prst="line">
                <a:avLst/>
              </a:prstGeom>
              <a:noFill/>
              <a:ln w="9525">
                <a:solidFill>
                  <a:srgbClr val="000000"/>
                </a:solidFill>
                <a:round/>
                <a:headEnd/>
                <a:tailEnd/>
              </a:ln>
            </xdr:spPr>
          </xdr:sp>
          <xdr:sp macro="" textlink="">
            <xdr:nvSpPr>
              <xdr:cNvPr id="4265" name="Line 44">
                <a:extLst>
                  <a:ext uri="{FF2B5EF4-FFF2-40B4-BE49-F238E27FC236}">
                    <a16:creationId xmlns:a16="http://schemas.microsoft.com/office/drawing/2014/main" id="{00000000-0008-0000-0000-0000A9100000}"/>
                  </a:ext>
                </a:extLst>
              </xdr:cNvPr>
              <xdr:cNvSpPr>
                <a:spLocks noChangeShapeType="1"/>
              </xdr:cNvSpPr>
            </xdr:nvSpPr>
            <xdr:spPr bwMode="auto">
              <a:xfrm rot="-5400000">
                <a:off x="292" y="103"/>
                <a:ext cx="15" cy="0"/>
              </a:xfrm>
              <a:prstGeom prst="line">
                <a:avLst/>
              </a:prstGeom>
              <a:noFill/>
              <a:ln w="9525">
                <a:solidFill>
                  <a:srgbClr val="000000"/>
                </a:solidFill>
                <a:round/>
                <a:headEnd/>
                <a:tailEnd/>
              </a:ln>
            </xdr:spPr>
          </xdr:sp>
          <xdr:sp macro="" textlink="">
            <xdr:nvSpPr>
              <xdr:cNvPr id="4266" name="Line 45">
                <a:extLst>
                  <a:ext uri="{FF2B5EF4-FFF2-40B4-BE49-F238E27FC236}">
                    <a16:creationId xmlns:a16="http://schemas.microsoft.com/office/drawing/2014/main" id="{00000000-0008-0000-0000-0000AA100000}"/>
                  </a:ext>
                </a:extLst>
              </xdr:cNvPr>
              <xdr:cNvSpPr>
                <a:spLocks noChangeShapeType="1"/>
              </xdr:cNvSpPr>
            </xdr:nvSpPr>
            <xdr:spPr bwMode="auto">
              <a:xfrm rot="16200000" flipH="1">
                <a:off x="295" y="101"/>
                <a:ext cx="9" cy="4"/>
              </a:xfrm>
              <a:prstGeom prst="line">
                <a:avLst/>
              </a:prstGeom>
              <a:noFill/>
              <a:ln w="9525">
                <a:solidFill>
                  <a:srgbClr val="000000"/>
                </a:solidFill>
                <a:round/>
                <a:headEnd/>
                <a:tailEnd/>
              </a:ln>
            </xdr:spPr>
          </xdr:sp>
          <xdr:sp macro="" textlink="">
            <xdr:nvSpPr>
              <xdr:cNvPr id="4267" name="Line 46">
                <a:extLst>
                  <a:ext uri="{FF2B5EF4-FFF2-40B4-BE49-F238E27FC236}">
                    <a16:creationId xmlns:a16="http://schemas.microsoft.com/office/drawing/2014/main" id="{00000000-0008-0000-0000-0000AB100000}"/>
                  </a:ext>
                </a:extLst>
              </xdr:cNvPr>
              <xdr:cNvSpPr>
                <a:spLocks noChangeShapeType="1"/>
              </xdr:cNvSpPr>
            </xdr:nvSpPr>
            <xdr:spPr bwMode="auto">
              <a:xfrm rot="-5400000">
                <a:off x="320" y="103"/>
                <a:ext cx="15" cy="0"/>
              </a:xfrm>
              <a:prstGeom prst="line">
                <a:avLst/>
              </a:prstGeom>
              <a:noFill/>
              <a:ln w="9525">
                <a:solidFill>
                  <a:srgbClr val="000000"/>
                </a:solidFill>
                <a:round/>
                <a:headEnd/>
                <a:tailEnd/>
              </a:ln>
            </xdr:spPr>
          </xdr:sp>
          <xdr:sp macro="" textlink="">
            <xdr:nvSpPr>
              <xdr:cNvPr id="4268" name="Line 47">
                <a:extLst>
                  <a:ext uri="{FF2B5EF4-FFF2-40B4-BE49-F238E27FC236}">
                    <a16:creationId xmlns:a16="http://schemas.microsoft.com/office/drawing/2014/main" id="{00000000-0008-0000-0000-0000AC100000}"/>
                  </a:ext>
                </a:extLst>
              </xdr:cNvPr>
              <xdr:cNvSpPr>
                <a:spLocks noChangeShapeType="1"/>
              </xdr:cNvSpPr>
            </xdr:nvSpPr>
            <xdr:spPr bwMode="auto">
              <a:xfrm rot="16200000" flipH="1">
                <a:off x="323" y="100"/>
                <a:ext cx="10" cy="5"/>
              </a:xfrm>
              <a:prstGeom prst="line">
                <a:avLst/>
              </a:prstGeom>
              <a:noFill/>
              <a:ln w="9525">
                <a:solidFill>
                  <a:srgbClr val="000000"/>
                </a:solidFill>
                <a:round/>
                <a:headEnd/>
                <a:tailEnd/>
              </a:ln>
            </xdr:spPr>
          </xdr:sp>
          <xdr:sp macro="" textlink="">
            <xdr:nvSpPr>
              <xdr:cNvPr id="4269" name="Line 48">
                <a:extLst>
                  <a:ext uri="{FF2B5EF4-FFF2-40B4-BE49-F238E27FC236}">
                    <a16:creationId xmlns:a16="http://schemas.microsoft.com/office/drawing/2014/main" id="{00000000-0008-0000-0000-0000AD100000}"/>
                  </a:ext>
                </a:extLst>
              </xdr:cNvPr>
              <xdr:cNvSpPr>
                <a:spLocks noChangeShapeType="1"/>
              </xdr:cNvSpPr>
            </xdr:nvSpPr>
            <xdr:spPr bwMode="auto">
              <a:xfrm rot="-5400000">
                <a:off x="295" y="276"/>
                <a:ext cx="0" cy="13"/>
              </a:xfrm>
              <a:prstGeom prst="line">
                <a:avLst/>
              </a:prstGeom>
              <a:noFill/>
              <a:ln w="9525">
                <a:solidFill>
                  <a:srgbClr val="000000"/>
                </a:solidFill>
                <a:round/>
                <a:headEnd/>
                <a:tailEnd/>
              </a:ln>
            </xdr:spPr>
          </xdr:sp>
          <xdr:sp macro="" textlink="">
            <xdr:nvSpPr>
              <xdr:cNvPr id="4270" name="Line 49">
                <a:extLst>
                  <a:ext uri="{FF2B5EF4-FFF2-40B4-BE49-F238E27FC236}">
                    <a16:creationId xmlns:a16="http://schemas.microsoft.com/office/drawing/2014/main" id="{00000000-0008-0000-0000-0000AE100000}"/>
                  </a:ext>
                </a:extLst>
              </xdr:cNvPr>
              <xdr:cNvSpPr>
                <a:spLocks noChangeShapeType="1"/>
              </xdr:cNvSpPr>
            </xdr:nvSpPr>
            <xdr:spPr bwMode="auto">
              <a:xfrm rot="-5400000">
                <a:off x="279" y="282"/>
                <a:ext cx="15" cy="0"/>
              </a:xfrm>
              <a:prstGeom prst="line">
                <a:avLst/>
              </a:prstGeom>
              <a:noFill/>
              <a:ln w="9525">
                <a:solidFill>
                  <a:srgbClr val="000000"/>
                </a:solidFill>
                <a:round/>
                <a:headEnd/>
                <a:tailEnd/>
              </a:ln>
            </xdr:spPr>
          </xdr:sp>
          <xdr:sp macro="" textlink="">
            <xdr:nvSpPr>
              <xdr:cNvPr id="4271" name="Line 50">
                <a:extLst>
                  <a:ext uri="{FF2B5EF4-FFF2-40B4-BE49-F238E27FC236}">
                    <a16:creationId xmlns:a16="http://schemas.microsoft.com/office/drawing/2014/main" id="{00000000-0008-0000-0000-0000AF100000}"/>
                  </a:ext>
                </a:extLst>
              </xdr:cNvPr>
              <xdr:cNvSpPr>
                <a:spLocks noChangeShapeType="1"/>
              </xdr:cNvSpPr>
            </xdr:nvSpPr>
            <xdr:spPr bwMode="auto">
              <a:xfrm rot="16200000" flipH="1">
                <a:off x="282" y="280"/>
                <a:ext cx="10" cy="5"/>
              </a:xfrm>
              <a:prstGeom prst="line">
                <a:avLst/>
              </a:prstGeom>
              <a:noFill/>
              <a:ln w="9525">
                <a:solidFill>
                  <a:srgbClr val="000000"/>
                </a:solidFill>
                <a:round/>
                <a:headEnd/>
                <a:tailEnd/>
              </a:ln>
            </xdr:spPr>
          </xdr:sp>
          <xdr:sp macro="" textlink="">
            <xdr:nvSpPr>
              <xdr:cNvPr id="4272" name="Line 51">
                <a:extLst>
                  <a:ext uri="{FF2B5EF4-FFF2-40B4-BE49-F238E27FC236}">
                    <a16:creationId xmlns:a16="http://schemas.microsoft.com/office/drawing/2014/main" id="{00000000-0008-0000-0000-0000B0100000}"/>
                  </a:ext>
                </a:extLst>
              </xdr:cNvPr>
              <xdr:cNvSpPr>
                <a:spLocks noChangeShapeType="1"/>
              </xdr:cNvSpPr>
            </xdr:nvSpPr>
            <xdr:spPr bwMode="auto">
              <a:xfrm rot="-5400000">
                <a:off x="296" y="283"/>
                <a:ext cx="12" cy="0"/>
              </a:xfrm>
              <a:prstGeom prst="line">
                <a:avLst/>
              </a:prstGeom>
              <a:noFill/>
              <a:ln w="9525">
                <a:solidFill>
                  <a:srgbClr val="000000"/>
                </a:solidFill>
                <a:round/>
                <a:headEnd/>
                <a:tailEnd/>
              </a:ln>
            </xdr:spPr>
          </xdr:sp>
          <xdr:sp macro="" textlink="">
            <xdr:nvSpPr>
              <xdr:cNvPr id="4273" name="Line 52">
                <a:extLst>
                  <a:ext uri="{FF2B5EF4-FFF2-40B4-BE49-F238E27FC236}">
                    <a16:creationId xmlns:a16="http://schemas.microsoft.com/office/drawing/2014/main" id="{00000000-0008-0000-0000-0000B1100000}"/>
                  </a:ext>
                </a:extLst>
              </xdr:cNvPr>
              <xdr:cNvSpPr>
                <a:spLocks noChangeShapeType="1"/>
              </xdr:cNvSpPr>
            </xdr:nvSpPr>
            <xdr:spPr bwMode="auto">
              <a:xfrm rot="16200000" flipH="1">
                <a:off x="298" y="279"/>
                <a:ext cx="8" cy="6"/>
              </a:xfrm>
              <a:prstGeom prst="line">
                <a:avLst/>
              </a:prstGeom>
              <a:noFill/>
              <a:ln w="9525">
                <a:solidFill>
                  <a:srgbClr val="000000"/>
                </a:solidFill>
                <a:round/>
                <a:headEnd/>
                <a:tailEnd/>
              </a:ln>
            </xdr:spPr>
          </xdr:sp>
          <xdr:sp macro="" textlink="">
            <xdr:nvSpPr>
              <xdr:cNvPr id="4274" name="Line 53">
                <a:extLst>
                  <a:ext uri="{FF2B5EF4-FFF2-40B4-BE49-F238E27FC236}">
                    <a16:creationId xmlns:a16="http://schemas.microsoft.com/office/drawing/2014/main" id="{00000000-0008-0000-0000-0000B2100000}"/>
                  </a:ext>
                </a:extLst>
              </xdr:cNvPr>
              <xdr:cNvSpPr>
                <a:spLocks noChangeShapeType="1"/>
              </xdr:cNvSpPr>
            </xdr:nvSpPr>
            <xdr:spPr bwMode="auto">
              <a:xfrm rot="-5400000">
                <a:off x="339" y="273"/>
                <a:ext cx="0" cy="22"/>
              </a:xfrm>
              <a:prstGeom prst="line">
                <a:avLst/>
              </a:prstGeom>
              <a:noFill/>
              <a:ln w="9525">
                <a:solidFill>
                  <a:srgbClr val="000000"/>
                </a:solidFill>
                <a:round/>
                <a:headEnd/>
                <a:tailEnd/>
              </a:ln>
            </xdr:spPr>
          </xdr:sp>
          <xdr:sp macro="" textlink="">
            <xdr:nvSpPr>
              <xdr:cNvPr id="4275" name="Line 54">
                <a:extLst>
                  <a:ext uri="{FF2B5EF4-FFF2-40B4-BE49-F238E27FC236}">
                    <a16:creationId xmlns:a16="http://schemas.microsoft.com/office/drawing/2014/main" id="{00000000-0008-0000-0000-0000B3100000}"/>
                  </a:ext>
                </a:extLst>
              </xdr:cNvPr>
              <xdr:cNvSpPr>
                <a:spLocks noChangeShapeType="1"/>
              </xdr:cNvSpPr>
            </xdr:nvSpPr>
            <xdr:spPr bwMode="auto">
              <a:xfrm rot="-5400000">
                <a:off x="320" y="284"/>
                <a:ext cx="15" cy="0"/>
              </a:xfrm>
              <a:prstGeom prst="line">
                <a:avLst/>
              </a:prstGeom>
              <a:noFill/>
              <a:ln w="9525">
                <a:solidFill>
                  <a:srgbClr val="000000"/>
                </a:solidFill>
                <a:round/>
                <a:headEnd/>
                <a:tailEnd/>
              </a:ln>
            </xdr:spPr>
          </xdr:sp>
          <xdr:sp macro="" textlink="">
            <xdr:nvSpPr>
              <xdr:cNvPr id="4276" name="Line 55">
                <a:extLst>
                  <a:ext uri="{FF2B5EF4-FFF2-40B4-BE49-F238E27FC236}">
                    <a16:creationId xmlns:a16="http://schemas.microsoft.com/office/drawing/2014/main" id="{00000000-0008-0000-0000-0000B4100000}"/>
                  </a:ext>
                </a:extLst>
              </xdr:cNvPr>
              <xdr:cNvSpPr>
                <a:spLocks noChangeShapeType="1"/>
              </xdr:cNvSpPr>
            </xdr:nvSpPr>
            <xdr:spPr bwMode="auto">
              <a:xfrm rot="-5400000">
                <a:off x="342" y="284"/>
                <a:ext cx="15" cy="0"/>
              </a:xfrm>
              <a:prstGeom prst="line">
                <a:avLst/>
              </a:prstGeom>
              <a:noFill/>
              <a:ln w="9525">
                <a:solidFill>
                  <a:srgbClr val="000000"/>
                </a:solidFill>
                <a:round/>
                <a:headEnd/>
                <a:tailEnd/>
              </a:ln>
            </xdr:spPr>
          </xdr:sp>
          <xdr:sp macro="" textlink="">
            <xdr:nvSpPr>
              <xdr:cNvPr id="4277" name="Line 56">
                <a:extLst>
                  <a:ext uri="{FF2B5EF4-FFF2-40B4-BE49-F238E27FC236}">
                    <a16:creationId xmlns:a16="http://schemas.microsoft.com/office/drawing/2014/main" id="{00000000-0008-0000-0000-0000B5100000}"/>
                  </a:ext>
                </a:extLst>
              </xdr:cNvPr>
              <xdr:cNvSpPr>
                <a:spLocks noChangeShapeType="1"/>
              </xdr:cNvSpPr>
            </xdr:nvSpPr>
            <xdr:spPr bwMode="auto">
              <a:xfrm>
                <a:off x="181" y="242"/>
                <a:ext cx="0" cy="47"/>
              </a:xfrm>
              <a:prstGeom prst="line">
                <a:avLst/>
              </a:prstGeom>
              <a:noFill/>
              <a:ln w="9525">
                <a:solidFill>
                  <a:srgbClr val="000000"/>
                </a:solidFill>
                <a:round/>
                <a:headEnd/>
                <a:tailEnd/>
              </a:ln>
            </xdr:spPr>
          </xdr:sp>
          <xdr:sp macro="" textlink="">
            <xdr:nvSpPr>
              <xdr:cNvPr id="4278" name="Line 57">
                <a:extLst>
                  <a:ext uri="{FF2B5EF4-FFF2-40B4-BE49-F238E27FC236}">
                    <a16:creationId xmlns:a16="http://schemas.microsoft.com/office/drawing/2014/main" id="{00000000-0008-0000-0000-0000B6100000}"/>
                  </a:ext>
                </a:extLst>
              </xdr:cNvPr>
              <xdr:cNvSpPr>
                <a:spLocks noChangeShapeType="1"/>
              </xdr:cNvSpPr>
            </xdr:nvSpPr>
            <xdr:spPr bwMode="auto">
              <a:xfrm>
                <a:off x="176" y="291"/>
                <a:ext cx="11" cy="0"/>
              </a:xfrm>
              <a:prstGeom prst="line">
                <a:avLst/>
              </a:prstGeom>
              <a:noFill/>
              <a:ln w="9525">
                <a:solidFill>
                  <a:srgbClr val="000000"/>
                </a:solidFill>
                <a:round/>
                <a:headEnd/>
                <a:tailEnd/>
              </a:ln>
            </xdr:spPr>
          </xdr:sp>
          <xdr:sp macro="" textlink="">
            <xdr:nvSpPr>
              <xdr:cNvPr id="4279" name="Line 58">
                <a:extLst>
                  <a:ext uri="{FF2B5EF4-FFF2-40B4-BE49-F238E27FC236}">
                    <a16:creationId xmlns:a16="http://schemas.microsoft.com/office/drawing/2014/main" id="{00000000-0008-0000-0000-0000B7100000}"/>
                  </a:ext>
                </a:extLst>
              </xdr:cNvPr>
              <xdr:cNvSpPr>
                <a:spLocks noChangeShapeType="1"/>
              </xdr:cNvSpPr>
            </xdr:nvSpPr>
            <xdr:spPr bwMode="auto">
              <a:xfrm flipH="1">
                <a:off x="177" y="288"/>
                <a:ext cx="8" cy="4"/>
              </a:xfrm>
              <a:prstGeom prst="line">
                <a:avLst/>
              </a:prstGeom>
              <a:noFill/>
              <a:ln w="9525">
                <a:solidFill>
                  <a:srgbClr val="000000"/>
                </a:solidFill>
                <a:round/>
                <a:headEnd/>
                <a:tailEnd/>
              </a:ln>
            </xdr:spPr>
          </xdr:sp>
          <xdr:sp macro="" textlink="">
            <xdr:nvSpPr>
              <xdr:cNvPr id="162" name="Text Box 63">
                <a:extLst>
                  <a:ext uri="{FF2B5EF4-FFF2-40B4-BE49-F238E27FC236}">
                    <a16:creationId xmlns:a16="http://schemas.microsoft.com/office/drawing/2014/main" id="{00000000-0008-0000-0000-0000A2000000}"/>
                  </a:ext>
                </a:extLst>
              </xdr:cNvPr>
              <xdr:cNvSpPr txBox="1">
                <a:spLocks noChangeArrowheads="1"/>
              </xdr:cNvSpPr>
            </xdr:nvSpPr>
            <xdr:spPr bwMode="auto">
              <a:xfrm>
                <a:off x="302" y="82"/>
                <a:ext cx="32" cy="26"/>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st</a:t>
                </a:r>
              </a:p>
            </xdr:txBody>
          </xdr:sp>
          <xdr:sp macro="" textlink="">
            <xdr:nvSpPr>
              <xdr:cNvPr id="163" name="Text Box 64">
                <a:extLst>
                  <a:ext uri="{FF2B5EF4-FFF2-40B4-BE49-F238E27FC236}">
                    <a16:creationId xmlns:a16="http://schemas.microsoft.com/office/drawing/2014/main" id="{00000000-0008-0000-0000-0000A3000000}"/>
                  </a:ext>
                </a:extLst>
              </xdr:cNvPr>
              <xdr:cNvSpPr txBox="1">
                <a:spLocks noChangeArrowheads="1"/>
              </xdr:cNvSpPr>
            </xdr:nvSpPr>
            <xdr:spPr bwMode="auto">
              <a:xfrm>
                <a:off x="185" y="170"/>
                <a:ext cx="23"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h</a:t>
                </a:r>
              </a:p>
            </xdr:txBody>
          </xdr:sp>
          <xdr:sp macro="" textlink="">
            <xdr:nvSpPr>
              <xdr:cNvPr id="164" name="Text Box 65">
                <a:extLst>
                  <a:ext uri="{FF2B5EF4-FFF2-40B4-BE49-F238E27FC236}">
                    <a16:creationId xmlns:a16="http://schemas.microsoft.com/office/drawing/2014/main" id="{00000000-0008-0000-0000-0000A4000000}"/>
                  </a:ext>
                </a:extLst>
              </xdr:cNvPr>
              <xdr:cNvSpPr txBox="1">
                <a:spLocks noChangeArrowheads="1"/>
              </xdr:cNvSpPr>
            </xdr:nvSpPr>
            <xdr:spPr bwMode="auto">
              <a:xfrm>
                <a:off x="158" y="204"/>
                <a:ext cx="24"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H</a:t>
                </a:r>
              </a:p>
            </xdr:txBody>
          </xdr:sp>
          <xdr:sp macro="" textlink="">
            <xdr:nvSpPr>
              <xdr:cNvPr id="165" name="Text Box 66">
                <a:extLst>
                  <a:ext uri="{FF2B5EF4-FFF2-40B4-BE49-F238E27FC236}">
                    <a16:creationId xmlns:a16="http://schemas.microsoft.com/office/drawing/2014/main" id="{00000000-0008-0000-0000-0000A5000000}"/>
                  </a:ext>
                </a:extLst>
              </xdr:cNvPr>
              <xdr:cNvSpPr txBox="1">
                <a:spLocks noChangeArrowheads="1"/>
              </xdr:cNvSpPr>
            </xdr:nvSpPr>
            <xdr:spPr bwMode="auto">
              <a:xfrm>
                <a:off x="313" y="322"/>
                <a:ext cx="23"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B</a:t>
                </a:r>
              </a:p>
            </xdr:txBody>
          </xdr:sp>
          <xdr:sp macro="" textlink="">
            <xdr:nvSpPr>
              <xdr:cNvPr id="4284" name="Line 67">
                <a:extLst>
                  <a:ext uri="{FF2B5EF4-FFF2-40B4-BE49-F238E27FC236}">
                    <a16:creationId xmlns:a16="http://schemas.microsoft.com/office/drawing/2014/main" id="{00000000-0008-0000-0000-0000BC100000}"/>
                  </a:ext>
                </a:extLst>
              </xdr:cNvPr>
              <xdr:cNvSpPr>
                <a:spLocks noChangeShapeType="1"/>
              </xdr:cNvSpPr>
            </xdr:nvSpPr>
            <xdr:spPr bwMode="auto">
              <a:xfrm>
                <a:off x="181" y="291"/>
                <a:ext cx="0" cy="19"/>
              </a:xfrm>
              <a:prstGeom prst="line">
                <a:avLst/>
              </a:prstGeom>
              <a:noFill/>
              <a:ln w="9525">
                <a:solidFill>
                  <a:srgbClr val="000000"/>
                </a:solidFill>
                <a:round/>
                <a:headEnd/>
                <a:tailEnd/>
              </a:ln>
            </xdr:spPr>
          </xdr:sp>
          <xdr:sp macro="" textlink="">
            <xdr:nvSpPr>
              <xdr:cNvPr id="4285" name="Line 68">
                <a:extLst>
                  <a:ext uri="{FF2B5EF4-FFF2-40B4-BE49-F238E27FC236}">
                    <a16:creationId xmlns:a16="http://schemas.microsoft.com/office/drawing/2014/main" id="{00000000-0008-0000-0000-0000BD100000}"/>
                  </a:ext>
                </a:extLst>
              </xdr:cNvPr>
              <xdr:cNvSpPr>
                <a:spLocks noChangeShapeType="1"/>
              </xdr:cNvSpPr>
            </xdr:nvSpPr>
            <xdr:spPr bwMode="auto">
              <a:xfrm flipH="1">
                <a:off x="175" y="310"/>
                <a:ext cx="11" cy="0"/>
              </a:xfrm>
              <a:prstGeom prst="line">
                <a:avLst/>
              </a:prstGeom>
              <a:noFill/>
              <a:ln w="9525">
                <a:solidFill>
                  <a:srgbClr val="000000"/>
                </a:solidFill>
                <a:round/>
                <a:headEnd/>
                <a:tailEnd/>
              </a:ln>
            </xdr:spPr>
          </xdr:sp>
          <xdr:sp macro="" textlink="">
            <xdr:nvSpPr>
              <xdr:cNvPr id="4286" name="Line 69">
                <a:extLst>
                  <a:ext uri="{FF2B5EF4-FFF2-40B4-BE49-F238E27FC236}">
                    <a16:creationId xmlns:a16="http://schemas.microsoft.com/office/drawing/2014/main" id="{00000000-0008-0000-0000-0000BE100000}"/>
                  </a:ext>
                </a:extLst>
              </xdr:cNvPr>
              <xdr:cNvSpPr>
                <a:spLocks noChangeShapeType="1"/>
              </xdr:cNvSpPr>
            </xdr:nvSpPr>
            <xdr:spPr bwMode="auto">
              <a:xfrm flipH="1">
                <a:off x="179" y="306"/>
                <a:ext cx="5" cy="6"/>
              </a:xfrm>
              <a:prstGeom prst="line">
                <a:avLst/>
              </a:prstGeom>
              <a:noFill/>
              <a:ln w="9525">
                <a:solidFill>
                  <a:srgbClr val="000000"/>
                </a:solidFill>
                <a:round/>
                <a:headEnd/>
                <a:tailEnd/>
              </a:ln>
            </xdr:spPr>
          </xdr:sp>
          <xdr:sp macro="" textlink="">
            <xdr:nvSpPr>
              <xdr:cNvPr id="169" name="Text Box 70">
                <a:extLst>
                  <a:ext uri="{FF2B5EF4-FFF2-40B4-BE49-F238E27FC236}">
                    <a16:creationId xmlns:a16="http://schemas.microsoft.com/office/drawing/2014/main" id="{00000000-0008-0000-0000-0000A9000000}"/>
                  </a:ext>
                </a:extLst>
              </xdr:cNvPr>
              <xdr:cNvSpPr txBox="1">
                <a:spLocks noChangeArrowheads="1"/>
              </xdr:cNvSpPr>
            </xdr:nvSpPr>
            <xdr:spPr bwMode="auto">
              <a:xfrm>
                <a:off x="162" y="290"/>
                <a:ext cx="24"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tt</a:t>
                </a:r>
              </a:p>
            </xdr:txBody>
          </xdr:sp>
          <xdr:sp macro="" textlink="">
            <xdr:nvSpPr>
              <xdr:cNvPr id="4288" name="Line 71">
                <a:extLst>
                  <a:ext uri="{FF2B5EF4-FFF2-40B4-BE49-F238E27FC236}">
                    <a16:creationId xmlns:a16="http://schemas.microsoft.com/office/drawing/2014/main" id="{00000000-0008-0000-0000-0000C0100000}"/>
                  </a:ext>
                </a:extLst>
              </xdr:cNvPr>
              <xdr:cNvSpPr>
                <a:spLocks noChangeShapeType="1"/>
              </xdr:cNvSpPr>
            </xdr:nvSpPr>
            <xdr:spPr bwMode="auto">
              <a:xfrm>
                <a:off x="498" y="273"/>
                <a:ext cx="0" cy="37"/>
              </a:xfrm>
              <a:prstGeom prst="line">
                <a:avLst/>
              </a:prstGeom>
              <a:noFill/>
              <a:ln w="9525">
                <a:solidFill>
                  <a:srgbClr val="000000"/>
                </a:solidFill>
                <a:round/>
                <a:headEnd/>
                <a:tailEnd/>
              </a:ln>
            </xdr:spPr>
          </xdr:sp>
          <xdr:sp macro="" textlink="">
            <xdr:nvSpPr>
              <xdr:cNvPr id="4289" name="Line 72">
                <a:extLst>
                  <a:ext uri="{FF2B5EF4-FFF2-40B4-BE49-F238E27FC236}">
                    <a16:creationId xmlns:a16="http://schemas.microsoft.com/office/drawing/2014/main" id="{00000000-0008-0000-0000-0000C1100000}"/>
                  </a:ext>
                </a:extLst>
              </xdr:cNvPr>
              <xdr:cNvSpPr>
                <a:spLocks noChangeShapeType="1"/>
              </xdr:cNvSpPr>
            </xdr:nvSpPr>
            <xdr:spPr bwMode="auto">
              <a:xfrm>
                <a:off x="492" y="273"/>
                <a:ext cx="13" cy="0"/>
              </a:xfrm>
              <a:prstGeom prst="line">
                <a:avLst/>
              </a:prstGeom>
              <a:noFill/>
              <a:ln w="9525">
                <a:solidFill>
                  <a:srgbClr val="000000"/>
                </a:solidFill>
                <a:round/>
                <a:headEnd/>
                <a:tailEnd/>
              </a:ln>
            </xdr:spPr>
          </xdr:sp>
          <xdr:sp macro="" textlink="">
            <xdr:nvSpPr>
              <xdr:cNvPr id="4290" name="Line 73">
                <a:extLst>
                  <a:ext uri="{FF2B5EF4-FFF2-40B4-BE49-F238E27FC236}">
                    <a16:creationId xmlns:a16="http://schemas.microsoft.com/office/drawing/2014/main" id="{00000000-0008-0000-0000-0000C2100000}"/>
                  </a:ext>
                </a:extLst>
              </xdr:cNvPr>
              <xdr:cNvSpPr>
                <a:spLocks noChangeShapeType="1"/>
              </xdr:cNvSpPr>
            </xdr:nvSpPr>
            <xdr:spPr bwMode="auto">
              <a:xfrm>
                <a:off x="492" y="310"/>
                <a:ext cx="13" cy="0"/>
              </a:xfrm>
              <a:prstGeom prst="line">
                <a:avLst/>
              </a:prstGeom>
              <a:noFill/>
              <a:ln w="9525">
                <a:solidFill>
                  <a:srgbClr val="000000"/>
                </a:solidFill>
                <a:round/>
                <a:headEnd/>
                <a:tailEnd/>
              </a:ln>
            </xdr:spPr>
          </xdr:sp>
          <xdr:sp macro="" textlink="">
            <xdr:nvSpPr>
              <xdr:cNvPr id="4291" name="Line 74">
                <a:extLst>
                  <a:ext uri="{FF2B5EF4-FFF2-40B4-BE49-F238E27FC236}">
                    <a16:creationId xmlns:a16="http://schemas.microsoft.com/office/drawing/2014/main" id="{00000000-0008-0000-0000-0000C3100000}"/>
                  </a:ext>
                </a:extLst>
              </xdr:cNvPr>
              <xdr:cNvSpPr>
                <a:spLocks noChangeShapeType="1"/>
              </xdr:cNvSpPr>
            </xdr:nvSpPr>
            <xdr:spPr bwMode="auto">
              <a:xfrm flipV="1">
                <a:off x="494" y="269"/>
                <a:ext cx="10" cy="7"/>
              </a:xfrm>
              <a:prstGeom prst="line">
                <a:avLst/>
              </a:prstGeom>
              <a:noFill/>
              <a:ln w="9525">
                <a:solidFill>
                  <a:srgbClr val="000000"/>
                </a:solidFill>
                <a:round/>
                <a:headEnd/>
                <a:tailEnd/>
              </a:ln>
            </xdr:spPr>
          </xdr:sp>
          <xdr:sp macro="" textlink="">
            <xdr:nvSpPr>
              <xdr:cNvPr id="4292" name="Line 75">
                <a:extLst>
                  <a:ext uri="{FF2B5EF4-FFF2-40B4-BE49-F238E27FC236}">
                    <a16:creationId xmlns:a16="http://schemas.microsoft.com/office/drawing/2014/main" id="{00000000-0008-0000-0000-0000C4100000}"/>
                  </a:ext>
                </a:extLst>
              </xdr:cNvPr>
              <xdr:cNvSpPr>
                <a:spLocks noChangeShapeType="1"/>
              </xdr:cNvSpPr>
            </xdr:nvSpPr>
            <xdr:spPr bwMode="auto">
              <a:xfrm flipV="1">
                <a:off x="494" y="304"/>
                <a:ext cx="10" cy="8"/>
              </a:xfrm>
              <a:prstGeom prst="line">
                <a:avLst/>
              </a:prstGeom>
              <a:noFill/>
              <a:ln w="9525">
                <a:solidFill>
                  <a:srgbClr val="000000"/>
                </a:solidFill>
                <a:round/>
                <a:headEnd/>
                <a:tailEnd/>
              </a:ln>
            </xdr:spPr>
          </xdr:sp>
          <xdr:sp macro="" textlink="">
            <xdr:nvSpPr>
              <xdr:cNvPr id="175" name="Text Box 76">
                <a:extLst>
                  <a:ext uri="{FF2B5EF4-FFF2-40B4-BE49-F238E27FC236}">
                    <a16:creationId xmlns:a16="http://schemas.microsoft.com/office/drawing/2014/main" id="{00000000-0008-0000-0000-0000AF000000}"/>
                  </a:ext>
                </a:extLst>
              </xdr:cNvPr>
              <xdr:cNvSpPr txBox="1">
                <a:spLocks noChangeArrowheads="1"/>
              </xdr:cNvSpPr>
            </xdr:nvSpPr>
            <xdr:spPr bwMode="auto">
              <a:xfrm>
                <a:off x="500" y="279"/>
                <a:ext cx="23" cy="32"/>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bs</a:t>
                </a:r>
              </a:p>
            </xdr:txBody>
          </xdr:sp>
          <xdr:sp macro="" textlink="">
            <xdr:nvSpPr>
              <xdr:cNvPr id="176" name="Text Box 77">
                <a:extLst>
                  <a:ext uri="{FF2B5EF4-FFF2-40B4-BE49-F238E27FC236}">
                    <a16:creationId xmlns:a16="http://schemas.microsoft.com/office/drawing/2014/main" id="{00000000-0008-0000-0000-0000B0000000}"/>
                  </a:ext>
                </a:extLst>
              </xdr:cNvPr>
              <xdr:cNvSpPr txBox="1">
                <a:spLocks noChangeArrowheads="1"/>
              </xdr:cNvSpPr>
            </xdr:nvSpPr>
            <xdr:spPr bwMode="auto">
              <a:xfrm>
                <a:off x="283" y="290"/>
                <a:ext cx="32" cy="28"/>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sb</a:t>
                </a:r>
                <a:r>
                  <a:rPr lang="en-US" sz="1000" b="0" i="0" strike="noStrike" baseline="-25000">
                    <a:solidFill>
                      <a:srgbClr val="000000"/>
                    </a:solidFill>
                    <a:latin typeface="Arial"/>
                    <a:cs typeface="Arial"/>
                  </a:rPr>
                  <a:t>t</a:t>
                </a:r>
              </a:p>
            </xdr:txBody>
          </xdr:sp>
          <xdr:sp macro="" textlink="">
            <xdr:nvSpPr>
              <xdr:cNvPr id="177" name="Text Box 78">
                <a:extLst>
                  <a:ext uri="{FF2B5EF4-FFF2-40B4-BE49-F238E27FC236}">
                    <a16:creationId xmlns:a16="http://schemas.microsoft.com/office/drawing/2014/main" id="{00000000-0008-0000-0000-0000B1000000}"/>
                  </a:ext>
                </a:extLst>
              </xdr:cNvPr>
              <xdr:cNvSpPr txBox="1">
                <a:spLocks noChangeArrowheads="1"/>
              </xdr:cNvSpPr>
            </xdr:nvSpPr>
            <xdr:spPr bwMode="auto">
              <a:xfrm>
                <a:off x="326" y="290"/>
                <a:ext cx="36" cy="28"/>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sb</a:t>
                </a:r>
                <a:r>
                  <a:rPr lang="en-US" sz="1000" b="0" i="0" strike="noStrike" baseline="-25000">
                    <a:solidFill>
                      <a:srgbClr val="000000"/>
                    </a:solidFill>
                    <a:latin typeface="Arial"/>
                    <a:cs typeface="Arial"/>
                  </a:rPr>
                  <a:t>h</a:t>
                </a:r>
              </a:p>
            </xdr:txBody>
          </xdr:sp>
          <xdr:sp macro="" textlink="">
            <xdr:nvSpPr>
              <xdr:cNvPr id="178" name="Text Box 79">
                <a:extLst>
                  <a:ext uri="{FF2B5EF4-FFF2-40B4-BE49-F238E27FC236}">
                    <a16:creationId xmlns:a16="http://schemas.microsoft.com/office/drawing/2014/main" id="{00000000-0008-0000-0000-0000B2000000}"/>
                  </a:ext>
                </a:extLst>
              </xdr:cNvPr>
              <xdr:cNvSpPr txBox="1">
                <a:spLocks noChangeArrowheads="1"/>
              </xdr:cNvSpPr>
            </xdr:nvSpPr>
            <xdr:spPr bwMode="auto">
              <a:xfrm>
                <a:off x="410" y="320"/>
                <a:ext cx="20"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hl</a:t>
                </a:r>
              </a:p>
            </xdr:txBody>
          </xdr:sp>
          <xdr:sp macro="" textlink="">
            <xdr:nvSpPr>
              <xdr:cNvPr id="179" name="Text Box 80">
                <a:extLst>
                  <a:ext uri="{FF2B5EF4-FFF2-40B4-BE49-F238E27FC236}">
                    <a16:creationId xmlns:a16="http://schemas.microsoft.com/office/drawing/2014/main" id="{00000000-0008-0000-0000-0000B3000000}"/>
                  </a:ext>
                </a:extLst>
              </xdr:cNvPr>
              <xdr:cNvSpPr txBox="1">
                <a:spLocks noChangeArrowheads="1"/>
              </xdr:cNvSpPr>
            </xdr:nvSpPr>
            <xdr:spPr bwMode="auto">
              <a:xfrm>
                <a:off x="234" y="322"/>
                <a:ext cx="23"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a:t>
                </a:r>
              </a:p>
            </xdr:txBody>
          </xdr:sp>
          <xdr:sp macro="" textlink="">
            <xdr:nvSpPr>
              <xdr:cNvPr id="4298" name="Line 85">
                <a:extLst>
                  <a:ext uri="{FF2B5EF4-FFF2-40B4-BE49-F238E27FC236}">
                    <a16:creationId xmlns:a16="http://schemas.microsoft.com/office/drawing/2014/main" id="{00000000-0008-0000-0000-0000CA100000}"/>
                  </a:ext>
                </a:extLst>
              </xdr:cNvPr>
              <xdr:cNvSpPr>
                <a:spLocks noChangeShapeType="1"/>
              </xdr:cNvSpPr>
            </xdr:nvSpPr>
            <xdr:spPr bwMode="auto">
              <a:xfrm rot="16200000" flipH="1">
                <a:off x="325" y="281"/>
                <a:ext cx="7" cy="7"/>
              </a:xfrm>
              <a:prstGeom prst="line">
                <a:avLst/>
              </a:prstGeom>
              <a:noFill/>
              <a:ln w="9525">
                <a:solidFill>
                  <a:srgbClr val="000000"/>
                </a:solidFill>
                <a:round/>
                <a:headEnd/>
                <a:tailEnd/>
              </a:ln>
            </xdr:spPr>
          </xdr:sp>
          <xdr:sp macro="" textlink="">
            <xdr:nvSpPr>
              <xdr:cNvPr id="4299" name="Line 86">
                <a:extLst>
                  <a:ext uri="{FF2B5EF4-FFF2-40B4-BE49-F238E27FC236}">
                    <a16:creationId xmlns:a16="http://schemas.microsoft.com/office/drawing/2014/main" id="{00000000-0008-0000-0000-0000CB100000}"/>
                  </a:ext>
                </a:extLst>
              </xdr:cNvPr>
              <xdr:cNvSpPr>
                <a:spLocks noChangeShapeType="1"/>
              </xdr:cNvSpPr>
            </xdr:nvSpPr>
            <xdr:spPr bwMode="auto">
              <a:xfrm rot="16200000" flipH="1">
                <a:off x="345" y="282"/>
                <a:ext cx="7" cy="6"/>
              </a:xfrm>
              <a:prstGeom prst="line">
                <a:avLst/>
              </a:prstGeom>
              <a:noFill/>
              <a:ln w="9525">
                <a:solidFill>
                  <a:srgbClr val="000000"/>
                </a:solidFill>
                <a:round/>
                <a:headEnd/>
                <a:tailEnd/>
              </a:ln>
            </xdr:spPr>
          </xdr:sp>
          <xdr:sp macro="" textlink="">
            <xdr:nvSpPr>
              <xdr:cNvPr id="4300" name="Line 14">
                <a:extLst>
                  <a:ext uri="{FF2B5EF4-FFF2-40B4-BE49-F238E27FC236}">
                    <a16:creationId xmlns:a16="http://schemas.microsoft.com/office/drawing/2014/main" id="{00000000-0008-0000-0000-0000CC100000}"/>
                  </a:ext>
                </a:extLst>
              </xdr:cNvPr>
              <xdr:cNvSpPr>
                <a:spLocks noChangeShapeType="1"/>
              </xdr:cNvSpPr>
            </xdr:nvSpPr>
            <xdr:spPr bwMode="auto">
              <a:xfrm flipH="1">
                <a:off x="373" y="120"/>
                <a:ext cx="18" cy="7"/>
              </a:xfrm>
              <a:prstGeom prst="line">
                <a:avLst/>
              </a:prstGeom>
              <a:noFill/>
              <a:ln w="9525">
                <a:solidFill>
                  <a:srgbClr val="000000"/>
                </a:solidFill>
                <a:round/>
                <a:headEnd/>
                <a:tailEnd/>
              </a:ln>
            </xdr:spPr>
          </xdr:sp>
          <xdr:sp macro="" textlink="">
            <xdr:nvSpPr>
              <xdr:cNvPr id="4301" name="Line 15">
                <a:extLst>
                  <a:ext uri="{FF2B5EF4-FFF2-40B4-BE49-F238E27FC236}">
                    <a16:creationId xmlns:a16="http://schemas.microsoft.com/office/drawing/2014/main" id="{00000000-0008-0000-0000-0000CD100000}"/>
                  </a:ext>
                </a:extLst>
              </xdr:cNvPr>
              <xdr:cNvSpPr>
                <a:spLocks noChangeShapeType="1"/>
              </xdr:cNvSpPr>
            </xdr:nvSpPr>
            <xdr:spPr bwMode="auto">
              <a:xfrm flipH="1">
                <a:off x="380" y="121"/>
                <a:ext cx="18" cy="7"/>
              </a:xfrm>
              <a:prstGeom prst="line">
                <a:avLst/>
              </a:prstGeom>
              <a:noFill/>
              <a:ln w="9525">
                <a:solidFill>
                  <a:srgbClr val="000000"/>
                </a:solidFill>
                <a:round/>
                <a:headEnd/>
                <a:tailEnd/>
              </a:ln>
            </xdr:spPr>
          </xdr:sp>
          <xdr:sp macro="" textlink="">
            <xdr:nvSpPr>
              <xdr:cNvPr id="4302" name="Line 16">
                <a:extLst>
                  <a:ext uri="{FF2B5EF4-FFF2-40B4-BE49-F238E27FC236}">
                    <a16:creationId xmlns:a16="http://schemas.microsoft.com/office/drawing/2014/main" id="{00000000-0008-0000-0000-0000CE100000}"/>
                  </a:ext>
                </a:extLst>
              </xdr:cNvPr>
              <xdr:cNvSpPr>
                <a:spLocks noChangeShapeType="1"/>
              </xdr:cNvSpPr>
            </xdr:nvSpPr>
            <xdr:spPr bwMode="auto">
              <a:xfrm>
                <a:off x="409" y="121"/>
                <a:ext cx="12" cy="7"/>
              </a:xfrm>
              <a:prstGeom prst="line">
                <a:avLst/>
              </a:prstGeom>
              <a:noFill/>
              <a:ln w="9525">
                <a:solidFill>
                  <a:srgbClr val="000000"/>
                </a:solidFill>
                <a:round/>
                <a:headEnd/>
                <a:tailEnd/>
              </a:ln>
            </xdr:spPr>
          </xdr:sp>
          <xdr:sp macro="" textlink="">
            <xdr:nvSpPr>
              <xdr:cNvPr id="4303" name="Line 17">
                <a:extLst>
                  <a:ext uri="{FF2B5EF4-FFF2-40B4-BE49-F238E27FC236}">
                    <a16:creationId xmlns:a16="http://schemas.microsoft.com/office/drawing/2014/main" id="{00000000-0008-0000-0000-0000CF100000}"/>
                  </a:ext>
                </a:extLst>
              </xdr:cNvPr>
              <xdr:cNvSpPr>
                <a:spLocks noChangeShapeType="1"/>
              </xdr:cNvSpPr>
            </xdr:nvSpPr>
            <xdr:spPr bwMode="auto">
              <a:xfrm>
                <a:off x="399" y="120"/>
                <a:ext cx="12" cy="7"/>
              </a:xfrm>
              <a:prstGeom prst="line">
                <a:avLst/>
              </a:prstGeom>
              <a:noFill/>
              <a:ln w="9525">
                <a:solidFill>
                  <a:srgbClr val="000000"/>
                </a:solidFill>
                <a:round/>
                <a:headEnd/>
                <a:tailEnd/>
              </a:ln>
            </xdr:spPr>
          </xdr:sp>
        </xdr:grpSp>
        <xdr:sp macro="" textlink="">
          <xdr:nvSpPr>
            <xdr:cNvPr id="186" name="Rectangle 185">
              <a:extLst>
                <a:ext uri="{FF2B5EF4-FFF2-40B4-BE49-F238E27FC236}">
                  <a16:creationId xmlns:a16="http://schemas.microsoft.com/office/drawing/2014/main" id="{00000000-0008-0000-0000-0000BA000000}"/>
                </a:ext>
              </a:extLst>
            </xdr:cNvPr>
            <xdr:cNvSpPr/>
          </xdr:nvSpPr>
          <xdr:spPr>
            <a:xfrm>
              <a:off x="2390775" y="390527"/>
              <a:ext cx="3038475" cy="2066923"/>
            </a:xfrm>
            <a:prstGeom prst="rect">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grpSp>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3763851" y="1009651"/>
            <a:ext cx="161574"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r>
              <a:rPr lang="en-IN" sz="1100">
                <a:latin typeface="Arial Black" pitchFamily="34" charset="0"/>
              </a:rPr>
              <a:t>stem</a:t>
            </a:r>
          </a:p>
        </xdr:txBody>
      </xdr:sp>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4267582" y="990601"/>
            <a:ext cx="874401"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Arial Black" pitchFamily="34" charset="0"/>
              </a:rPr>
              <a:t>Backfill Soil</a:t>
            </a:r>
          </a:p>
        </xdr:txBody>
      </xdr:sp>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4410147" y="1914526"/>
            <a:ext cx="56075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Arial Black" pitchFamily="34" charset="0"/>
              </a:rPr>
              <a:t>heel</a:t>
            </a:r>
          </a:p>
        </xdr:txBody>
      </xdr:sp>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3136563" y="1905001"/>
            <a:ext cx="57026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Arial Black" pitchFamily="34" charset="0"/>
              </a:rPr>
              <a:t>Toe</a:t>
            </a:r>
          </a:p>
        </xdr:txBody>
      </xdr:sp>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2984494" y="1390651"/>
            <a:ext cx="57026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mn-lt"/>
              </a:rPr>
              <a:t>G.L</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4619243" y="428627"/>
            <a:ext cx="57026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mn-lt"/>
              </a:rPr>
              <a:t>G.L</a:t>
            </a:r>
          </a:p>
        </xdr:txBody>
      </xdr:sp>
      <xdr:cxnSp macro="">
        <xdr:nvCxnSpPr>
          <xdr:cNvPr id="201" name="Straight Connector 200">
            <a:extLst>
              <a:ext uri="{FF2B5EF4-FFF2-40B4-BE49-F238E27FC236}">
                <a16:creationId xmlns:a16="http://schemas.microsoft.com/office/drawing/2014/main" id="{00000000-0008-0000-0000-0000C9000000}"/>
              </a:ext>
            </a:extLst>
          </xdr:cNvPr>
          <xdr:cNvCxnSpPr>
            <a:stCxn id="4230" idx="0"/>
          </xdr:cNvCxnSpPr>
        </xdr:nvCxnSpPr>
        <xdr:spPr>
          <a:xfrm rot="5400000">
            <a:off x="4115502" y="1771805"/>
            <a:ext cx="9525" cy="14256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05" name="Straight Connector 204">
            <a:extLst>
              <a:ext uri="{FF2B5EF4-FFF2-40B4-BE49-F238E27FC236}">
                <a16:creationId xmlns:a16="http://schemas.microsoft.com/office/drawing/2014/main" id="{00000000-0008-0000-0000-0000CD000000}"/>
              </a:ext>
            </a:extLst>
          </xdr:cNvPr>
          <xdr:cNvCxnSpPr>
            <a:stCxn id="4226" idx="0"/>
          </xdr:cNvCxnSpPr>
        </xdr:nvCxnSpPr>
        <xdr:spPr>
          <a:xfrm rot="16200000" flipH="1">
            <a:off x="3815651" y="862024"/>
            <a:ext cx="438150" cy="950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7" name="Arc 206">
            <a:extLst>
              <a:ext uri="{FF2B5EF4-FFF2-40B4-BE49-F238E27FC236}">
                <a16:creationId xmlns:a16="http://schemas.microsoft.com/office/drawing/2014/main" id="{00000000-0008-0000-0000-0000CF000000}"/>
              </a:ext>
            </a:extLst>
          </xdr:cNvPr>
          <xdr:cNvSpPr/>
        </xdr:nvSpPr>
        <xdr:spPr>
          <a:xfrm rot="15451615">
            <a:off x="4124862" y="1733747"/>
            <a:ext cx="142875" cy="180583"/>
          </a:xfrm>
          <a:prstGeom prst="arc">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sp macro="" textlink="">
        <xdr:nvSpPr>
          <xdr:cNvPr id="208" name="Arc 207">
            <a:extLst>
              <a:ext uri="{FF2B5EF4-FFF2-40B4-BE49-F238E27FC236}">
                <a16:creationId xmlns:a16="http://schemas.microsoft.com/office/drawing/2014/main" id="{00000000-0008-0000-0000-0000D0000000}"/>
              </a:ext>
            </a:extLst>
          </xdr:cNvPr>
          <xdr:cNvSpPr/>
        </xdr:nvSpPr>
        <xdr:spPr>
          <a:xfrm rot="5814913">
            <a:off x="4001378" y="971655"/>
            <a:ext cx="76200" cy="95044"/>
          </a:xfrm>
          <a:prstGeom prst="arc">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3915921" y="990601"/>
            <a:ext cx="26612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Symbol" pitchFamily="18" charset="2"/>
              </a:rPr>
              <a:t>q</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3934930" y="1590676"/>
            <a:ext cx="2756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Symbol" pitchFamily="18" charset="2"/>
              </a:rPr>
              <a:t>a</a:t>
            </a:r>
          </a:p>
        </xdr:txBody>
      </xdr:sp>
      <xdr:sp macro="" textlink="">
        <xdr:nvSpPr>
          <xdr:cNvPr id="211" name="Text Box 65">
            <a:extLst>
              <a:ext uri="{FF2B5EF4-FFF2-40B4-BE49-F238E27FC236}">
                <a16:creationId xmlns:a16="http://schemas.microsoft.com/office/drawing/2014/main" id="{00000000-0008-0000-0000-0000D3000000}"/>
              </a:ext>
            </a:extLst>
          </xdr:cNvPr>
          <xdr:cNvSpPr txBox="1">
            <a:spLocks noChangeArrowheads="1"/>
          </xdr:cNvSpPr>
        </xdr:nvSpPr>
        <xdr:spPr bwMode="auto">
          <a:xfrm>
            <a:off x="2993998" y="1676401"/>
            <a:ext cx="228105" cy="22860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50" b="0" i="0" strike="noStrike">
                <a:solidFill>
                  <a:srgbClr val="000000"/>
                </a:solidFill>
                <a:latin typeface="Arial"/>
                <a:cs typeface="Arial"/>
              </a:rPr>
              <a:t>ms</a:t>
            </a:r>
          </a:p>
        </xdr:txBody>
      </xdr:sp>
      <xdr:cxnSp macro="">
        <xdr:nvCxnSpPr>
          <xdr:cNvPr id="215" name="Straight Connector 214">
            <a:extLst>
              <a:ext uri="{FF2B5EF4-FFF2-40B4-BE49-F238E27FC236}">
                <a16:creationId xmlns:a16="http://schemas.microsoft.com/office/drawing/2014/main" id="{00000000-0008-0000-0000-0000D7000000}"/>
              </a:ext>
            </a:extLst>
          </xdr:cNvPr>
          <xdr:cNvCxnSpPr/>
        </xdr:nvCxnSpPr>
        <xdr:spPr>
          <a:xfrm rot="5400000" flipH="1" flipV="1">
            <a:off x="4656704" y="1857376"/>
            <a:ext cx="5143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7" name="Straight Connector 216">
            <a:extLst>
              <a:ext uri="{FF2B5EF4-FFF2-40B4-BE49-F238E27FC236}">
                <a16:creationId xmlns:a16="http://schemas.microsoft.com/office/drawing/2014/main" id="{00000000-0008-0000-0000-0000D9000000}"/>
              </a:ext>
            </a:extLst>
          </xdr:cNvPr>
          <xdr:cNvCxnSpPr/>
        </xdr:nvCxnSpPr>
        <xdr:spPr>
          <a:xfrm rot="10800000" flipV="1">
            <a:off x="4885365" y="2095500"/>
            <a:ext cx="66531" cy="381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8" name="Straight Connector 217">
            <a:extLst>
              <a:ext uri="{FF2B5EF4-FFF2-40B4-BE49-F238E27FC236}">
                <a16:creationId xmlns:a16="http://schemas.microsoft.com/office/drawing/2014/main" id="{00000000-0008-0000-0000-0000DA000000}"/>
              </a:ext>
            </a:extLst>
          </xdr:cNvPr>
          <xdr:cNvCxnSpPr/>
        </xdr:nvCxnSpPr>
        <xdr:spPr>
          <a:xfrm rot="10800000" flipV="1">
            <a:off x="4875861" y="1562101"/>
            <a:ext cx="66531" cy="47625"/>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4837844" y="1724026"/>
            <a:ext cx="3801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latin typeface="+mn-lt"/>
              </a:rPr>
              <a:t>D</a:t>
            </a:r>
            <a:r>
              <a:rPr lang="en-IN" sz="1100" baseline="-25000">
                <a:latin typeface="+mn-lt"/>
              </a:rPr>
              <a:t>f</a:t>
            </a:r>
          </a:p>
        </xdr:txBody>
      </xdr:sp>
      <xdr:sp macro="" textlink="">
        <xdr:nvSpPr>
          <xdr:cNvPr id="220" name="Text Box 65">
            <a:extLst>
              <a:ext uri="{FF2B5EF4-FFF2-40B4-BE49-F238E27FC236}">
                <a16:creationId xmlns:a16="http://schemas.microsoft.com/office/drawing/2014/main" id="{00000000-0008-0000-0000-0000DC000000}"/>
              </a:ext>
            </a:extLst>
          </xdr:cNvPr>
          <xdr:cNvSpPr txBox="1">
            <a:spLocks noChangeArrowheads="1"/>
          </xdr:cNvSpPr>
        </xdr:nvSpPr>
        <xdr:spPr bwMode="auto">
          <a:xfrm>
            <a:off x="4315104" y="1609726"/>
            <a:ext cx="237609" cy="23812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50" b="0" i="0" strike="noStrike">
                <a:solidFill>
                  <a:srgbClr val="000000"/>
                </a:solidFill>
                <a:latin typeface="Arial"/>
                <a:cs typeface="Arial"/>
              </a:rPr>
              <a:t>zs</a:t>
            </a:r>
          </a:p>
        </xdr:txBody>
      </xdr:sp>
      <xdr:cxnSp macro="">
        <xdr:nvCxnSpPr>
          <xdr:cNvPr id="222" name="Straight Connector 221">
            <a:extLst>
              <a:ext uri="{FF2B5EF4-FFF2-40B4-BE49-F238E27FC236}">
                <a16:creationId xmlns:a16="http://schemas.microsoft.com/office/drawing/2014/main" id="{00000000-0008-0000-0000-0000DE000000}"/>
              </a:ext>
            </a:extLst>
          </xdr:cNvPr>
          <xdr:cNvCxnSpPr/>
        </xdr:nvCxnSpPr>
        <xdr:spPr>
          <a:xfrm rot="5400000">
            <a:off x="4115234" y="1704986"/>
            <a:ext cx="257175" cy="95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3" name="Straight Connector 222">
            <a:extLst>
              <a:ext uri="{FF2B5EF4-FFF2-40B4-BE49-F238E27FC236}">
                <a16:creationId xmlns:a16="http://schemas.microsoft.com/office/drawing/2014/main" id="{00000000-0008-0000-0000-0000DF000000}"/>
              </a:ext>
            </a:extLst>
          </xdr:cNvPr>
          <xdr:cNvCxnSpPr/>
        </xdr:nvCxnSpPr>
        <xdr:spPr>
          <a:xfrm rot="10800000" flipV="1">
            <a:off x="4220060" y="1809751"/>
            <a:ext cx="57026" cy="476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4" name="Straight Connector 223">
            <a:extLst>
              <a:ext uri="{FF2B5EF4-FFF2-40B4-BE49-F238E27FC236}">
                <a16:creationId xmlns:a16="http://schemas.microsoft.com/office/drawing/2014/main" id="{00000000-0008-0000-0000-0000E0000000}"/>
              </a:ext>
            </a:extLst>
          </xdr:cNvPr>
          <xdr:cNvCxnSpPr/>
        </xdr:nvCxnSpPr>
        <xdr:spPr>
          <a:xfrm rot="10800000" flipV="1">
            <a:off x="4210556" y="1571626"/>
            <a:ext cx="66531" cy="47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152400</xdr:colOff>
      <xdr:row>131</xdr:row>
      <xdr:rowOff>190500</xdr:rowOff>
    </xdr:from>
    <xdr:to>
      <xdr:col>7</xdr:col>
      <xdr:colOff>600075</xdr:colOff>
      <xdr:row>137</xdr:row>
      <xdr:rowOff>0</xdr:rowOff>
    </xdr:to>
    <xdr:grpSp>
      <xdr:nvGrpSpPr>
        <xdr:cNvPr id="3080" name="Group 298">
          <a:extLst>
            <a:ext uri="{FF2B5EF4-FFF2-40B4-BE49-F238E27FC236}">
              <a16:creationId xmlns:a16="http://schemas.microsoft.com/office/drawing/2014/main" id="{00000000-0008-0000-0000-0000080C0000}"/>
            </a:ext>
          </a:extLst>
        </xdr:cNvPr>
        <xdr:cNvGrpSpPr>
          <a:grpSpLocks/>
        </xdr:cNvGrpSpPr>
      </xdr:nvGrpSpPr>
      <xdr:grpSpPr bwMode="auto">
        <a:xfrm>
          <a:off x="2667000" y="26079450"/>
          <a:ext cx="2276475" cy="1371600"/>
          <a:chOff x="2695297" y="17005789"/>
          <a:chExt cx="2596763" cy="2015754"/>
        </a:xfrm>
      </xdr:grpSpPr>
      <xdr:grpSp>
        <xdr:nvGrpSpPr>
          <xdr:cNvPr id="4167" name="Group 296">
            <a:extLst>
              <a:ext uri="{FF2B5EF4-FFF2-40B4-BE49-F238E27FC236}">
                <a16:creationId xmlns:a16="http://schemas.microsoft.com/office/drawing/2014/main" id="{00000000-0008-0000-0000-000047100000}"/>
              </a:ext>
            </a:extLst>
          </xdr:cNvPr>
          <xdr:cNvGrpSpPr>
            <a:grpSpLocks/>
          </xdr:cNvGrpSpPr>
        </xdr:nvGrpSpPr>
        <xdr:grpSpPr bwMode="auto">
          <a:xfrm>
            <a:off x="2727827" y="17049580"/>
            <a:ext cx="2525604" cy="1971963"/>
            <a:chOff x="2798064" y="17507355"/>
            <a:chExt cx="2536720" cy="1536269"/>
          </a:xfrm>
        </xdr:grpSpPr>
        <xdr:sp macro="" textlink="">
          <xdr:nvSpPr>
            <xdr:cNvPr id="4169" name="Line 279">
              <a:extLst>
                <a:ext uri="{FF2B5EF4-FFF2-40B4-BE49-F238E27FC236}">
                  <a16:creationId xmlns:a16="http://schemas.microsoft.com/office/drawing/2014/main" id="{00000000-0008-0000-0000-000049100000}"/>
                </a:ext>
              </a:extLst>
            </xdr:cNvPr>
            <xdr:cNvSpPr>
              <a:spLocks noChangeShapeType="1"/>
            </xdr:cNvSpPr>
          </xdr:nvSpPr>
          <xdr:spPr bwMode="auto">
            <a:xfrm flipH="1">
              <a:off x="2936748" y="18691802"/>
              <a:ext cx="793101" cy="161962"/>
            </a:xfrm>
            <a:prstGeom prst="line">
              <a:avLst/>
            </a:prstGeom>
            <a:noFill/>
            <a:ln w="9525">
              <a:solidFill>
                <a:srgbClr val="000000"/>
              </a:solidFill>
              <a:prstDash val="dash"/>
              <a:round/>
              <a:headEnd/>
              <a:tailEnd/>
            </a:ln>
          </xdr:spPr>
        </xdr:sp>
        <xdr:sp macro="" textlink="">
          <xdr:nvSpPr>
            <xdr:cNvPr id="4170" name="Line 280">
              <a:extLst>
                <a:ext uri="{FF2B5EF4-FFF2-40B4-BE49-F238E27FC236}">
                  <a16:creationId xmlns:a16="http://schemas.microsoft.com/office/drawing/2014/main" id="{00000000-0008-0000-0000-00004A100000}"/>
                </a:ext>
              </a:extLst>
            </xdr:cNvPr>
            <xdr:cNvSpPr>
              <a:spLocks noChangeShapeType="1"/>
            </xdr:cNvSpPr>
          </xdr:nvSpPr>
          <xdr:spPr bwMode="auto">
            <a:xfrm>
              <a:off x="4398051" y="18677718"/>
              <a:ext cx="774366" cy="176046"/>
            </a:xfrm>
            <a:prstGeom prst="line">
              <a:avLst/>
            </a:prstGeom>
            <a:noFill/>
            <a:ln w="9525">
              <a:solidFill>
                <a:srgbClr val="000000"/>
              </a:solidFill>
              <a:prstDash val="dash"/>
              <a:round/>
              <a:headEnd/>
              <a:tailEnd/>
            </a:ln>
          </xdr:spPr>
        </xdr:sp>
        <xdr:sp macro="" textlink="">
          <xdr:nvSpPr>
            <xdr:cNvPr id="235" name="Text Box 282">
              <a:extLst>
                <a:ext uri="{FF2B5EF4-FFF2-40B4-BE49-F238E27FC236}">
                  <a16:creationId xmlns:a16="http://schemas.microsoft.com/office/drawing/2014/main" id="{00000000-0008-0000-0000-0000EB000000}"/>
                </a:ext>
              </a:extLst>
            </xdr:cNvPr>
            <xdr:cNvSpPr txBox="1">
              <a:spLocks noChangeArrowheads="1"/>
            </xdr:cNvSpPr>
          </xdr:nvSpPr>
          <xdr:spPr bwMode="auto">
            <a:xfrm>
              <a:off x="3965814" y="17985796"/>
              <a:ext cx="174607" cy="119960"/>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12</a:t>
              </a:r>
            </a:p>
          </xdr:txBody>
        </xdr:sp>
        <xdr:sp macro="" textlink="">
          <xdr:nvSpPr>
            <xdr:cNvPr id="236" name="Text Box 283">
              <a:extLst>
                <a:ext uri="{FF2B5EF4-FFF2-40B4-BE49-F238E27FC236}">
                  <a16:creationId xmlns:a16="http://schemas.microsoft.com/office/drawing/2014/main" id="{00000000-0008-0000-0000-0000EC000000}"/>
                </a:ext>
              </a:extLst>
            </xdr:cNvPr>
            <xdr:cNvSpPr txBox="1">
              <a:spLocks noChangeArrowheads="1"/>
            </xdr:cNvSpPr>
          </xdr:nvSpPr>
          <xdr:spPr bwMode="auto">
            <a:xfrm>
              <a:off x="4118595" y="18171188"/>
              <a:ext cx="327388" cy="28354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14</a:t>
              </a:r>
            </a:p>
          </xdr:txBody>
        </xdr:sp>
        <xdr:sp macro="" textlink="">
          <xdr:nvSpPr>
            <xdr:cNvPr id="237" name="Text Box 284">
              <a:extLst>
                <a:ext uri="{FF2B5EF4-FFF2-40B4-BE49-F238E27FC236}">
                  <a16:creationId xmlns:a16="http://schemas.microsoft.com/office/drawing/2014/main" id="{00000000-0008-0000-0000-0000ED000000}"/>
                </a:ext>
              </a:extLst>
            </xdr:cNvPr>
            <xdr:cNvSpPr txBox="1">
              <a:spLocks noChangeArrowheads="1"/>
            </xdr:cNvSpPr>
          </xdr:nvSpPr>
          <xdr:spPr bwMode="auto">
            <a:xfrm>
              <a:off x="3813032" y="18182094"/>
              <a:ext cx="229172" cy="28354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13</a:t>
              </a:r>
            </a:p>
          </xdr:txBody>
        </xdr:sp>
        <xdr:sp macro="" textlink="">
          <xdr:nvSpPr>
            <xdr:cNvPr id="239" name="Text Box 300">
              <a:extLst>
                <a:ext uri="{FF2B5EF4-FFF2-40B4-BE49-F238E27FC236}">
                  <a16:creationId xmlns:a16="http://schemas.microsoft.com/office/drawing/2014/main" id="{00000000-0008-0000-0000-0000EF000000}"/>
                </a:ext>
              </a:extLst>
            </xdr:cNvPr>
            <xdr:cNvSpPr txBox="1">
              <a:spLocks noChangeArrowheads="1"/>
            </xdr:cNvSpPr>
          </xdr:nvSpPr>
          <xdr:spPr bwMode="auto">
            <a:xfrm>
              <a:off x="3616600" y="18531068"/>
              <a:ext cx="240085" cy="18539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H</a:t>
              </a:r>
            </a:p>
          </xdr:txBody>
        </xdr:sp>
        <xdr:sp macro="" textlink="">
          <xdr:nvSpPr>
            <xdr:cNvPr id="240" name="Text Box 301">
              <a:extLst>
                <a:ext uri="{FF2B5EF4-FFF2-40B4-BE49-F238E27FC236}">
                  <a16:creationId xmlns:a16="http://schemas.microsoft.com/office/drawing/2014/main" id="{00000000-0008-0000-0000-0000F0000000}"/>
                </a:ext>
              </a:extLst>
            </xdr:cNvPr>
            <xdr:cNvSpPr txBox="1">
              <a:spLocks noChangeArrowheads="1"/>
            </xdr:cNvSpPr>
          </xdr:nvSpPr>
          <xdr:spPr bwMode="auto">
            <a:xfrm>
              <a:off x="3823945" y="17505956"/>
              <a:ext cx="196433" cy="207204"/>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G</a:t>
              </a:r>
            </a:p>
          </xdr:txBody>
        </xdr:sp>
        <xdr:sp macro="" textlink="">
          <xdr:nvSpPr>
            <xdr:cNvPr id="241" name="Text Box 302">
              <a:extLst>
                <a:ext uri="{FF2B5EF4-FFF2-40B4-BE49-F238E27FC236}">
                  <a16:creationId xmlns:a16="http://schemas.microsoft.com/office/drawing/2014/main" id="{00000000-0008-0000-0000-0000F1000000}"/>
                </a:ext>
              </a:extLst>
            </xdr:cNvPr>
            <xdr:cNvSpPr txBox="1">
              <a:spLocks noChangeArrowheads="1"/>
            </xdr:cNvSpPr>
          </xdr:nvSpPr>
          <xdr:spPr bwMode="auto">
            <a:xfrm>
              <a:off x="4151334" y="17505956"/>
              <a:ext cx="141868" cy="21810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F</a:t>
              </a:r>
            </a:p>
          </xdr:txBody>
        </xdr:sp>
        <xdr:sp macro="" textlink="">
          <xdr:nvSpPr>
            <xdr:cNvPr id="242" name="Text Box 303">
              <a:extLst>
                <a:ext uri="{FF2B5EF4-FFF2-40B4-BE49-F238E27FC236}">
                  <a16:creationId xmlns:a16="http://schemas.microsoft.com/office/drawing/2014/main" id="{00000000-0008-0000-0000-0000F2000000}"/>
                </a:ext>
              </a:extLst>
            </xdr:cNvPr>
            <xdr:cNvSpPr txBox="1">
              <a:spLocks noChangeArrowheads="1"/>
            </xdr:cNvSpPr>
          </xdr:nvSpPr>
          <xdr:spPr bwMode="auto">
            <a:xfrm>
              <a:off x="4369592" y="18552879"/>
              <a:ext cx="185520" cy="174487"/>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E</a:t>
              </a:r>
            </a:p>
          </xdr:txBody>
        </xdr:sp>
        <xdr:sp macro="" textlink="">
          <xdr:nvSpPr>
            <xdr:cNvPr id="243" name="Text Box 304">
              <a:extLst>
                <a:ext uri="{FF2B5EF4-FFF2-40B4-BE49-F238E27FC236}">
                  <a16:creationId xmlns:a16="http://schemas.microsoft.com/office/drawing/2014/main" id="{00000000-0008-0000-0000-0000F3000000}"/>
                </a:ext>
              </a:extLst>
            </xdr:cNvPr>
            <xdr:cNvSpPr txBox="1">
              <a:spLocks noChangeArrowheads="1"/>
            </xdr:cNvSpPr>
          </xdr:nvSpPr>
          <xdr:spPr bwMode="auto">
            <a:xfrm>
              <a:off x="2798129" y="18770988"/>
              <a:ext cx="120042" cy="1526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D</a:t>
              </a:r>
            </a:p>
          </xdr:txBody>
        </xdr:sp>
        <xdr:sp macro="" textlink="">
          <xdr:nvSpPr>
            <xdr:cNvPr id="244" name="Text Box 305">
              <a:extLst>
                <a:ext uri="{FF2B5EF4-FFF2-40B4-BE49-F238E27FC236}">
                  <a16:creationId xmlns:a16="http://schemas.microsoft.com/office/drawing/2014/main" id="{00000000-0008-0000-0000-0000F4000000}"/>
                </a:ext>
              </a:extLst>
            </xdr:cNvPr>
            <xdr:cNvSpPr txBox="1">
              <a:spLocks noChangeArrowheads="1"/>
            </xdr:cNvSpPr>
          </xdr:nvSpPr>
          <xdr:spPr bwMode="auto">
            <a:xfrm>
              <a:off x="5155324" y="18770988"/>
              <a:ext cx="163694" cy="16358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C</a:t>
              </a:r>
            </a:p>
          </xdr:txBody>
        </xdr:sp>
        <xdr:sp macro="" textlink="">
          <xdr:nvSpPr>
            <xdr:cNvPr id="4180" name="Line 356">
              <a:extLst>
                <a:ext uri="{FF2B5EF4-FFF2-40B4-BE49-F238E27FC236}">
                  <a16:creationId xmlns:a16="http://schemas.microsoft.com/office/drawing/2014/main" id="{00000000-0008-0000-0000-000054100000}"/>
                </a:ext>
              </a:extLst>
            </xdr:cNvPr>
            <xdr:cNvSpPr>
              <a:spLocks noChangeShapeType="1"/>
            </xdr:cNvSpPr>
          </xdr:nvSpPr>
          <xdr:spPr bwMode="auto">
            <a:xfrm flipH="1">
              <a:off x="2855564" y="18339711"/>
              <a:ext cx="2479220" cy="0"/>
            </a:xfrm>
            <a:prstGeom prst="line">
              <a:avLst/>
            </a:prstGeom>
            <a:noFill/>
            <a:ln w="9525">
              <a:solidFill>
                <a:srgbClr val="000000"/>
              </a:solidFill>
              <a:round/>
              <a:headEnd/>
              <a:tailEnd/>
            </a:ln>
          </xdr:spPr>
        </xdr:sp>
        <xdr:sp macro="" textlink="">
          <xdr:nvSpPr>
            <xdr:cNvPr id="4181" name="Line 357">
              <a:extLst>
                <a:ext uri="{FF2B5EF4-FFF2-40B4-BE49-F238E27FC236}">
                  <a16:creationId xmlns:a16="http://schemas.microsoft.com/office/drawing/2014/main" id="{00000000-0008-0000-0000-000055100000}"/>
                </a:ext>
              </a:extLst>
            </xdr:cNvPr>
            <xdr:cNvSpPr>
              <a:spLocks noChangeShapeType="1"/>
            </xdr:cNvSpPr>
          </xdr:nvSpPr>
          <xdr:spPr bwMode="auto">
            <a:xfrm flipH="1">
              <a:off x="3055400" y="18339711"/>
              <a:ext cx="74939" cy="42251"/>
            </a:xfrm>
            <a:prstGeom prst="line">
              <a:avLst/>
            </a:prstGeom>
            <a:noFill/>
            <a:ln w="9525">
              <a:solidFill>
                <a:srgbClr val="000000"/>
              </a:solidFill>
              <a:round/>
              <a:headEnd/>
              <a:tailEnd/>
            </a:ln>
          </xdr:spPr>
        </xdr:sp>
        <xdr:sp macro="" textlink="">
          <xdr:nvSpPr>
            <xdr:cNvPr id="4182" name="Line 358">
              <a:extLst>
                <a:ext uri="{FF2B5EF4-FFF2-40B4-BE49-F238E27FC236}">
                  <a16:creationId xmlns:a16="http://schemas.microsoft.com/office/drawing/2014/main" id="{00000000-0008-0000-0000-000056100000}"/>
                </a:ext>
              </a:extLst>
            </xdr:cNvPr>
            <xdr:cNvSpPr>
              <a:spLocks noChangeShapeType="1"/>
            </xdr:cNvSpPr>
          </xdr:nvSpPr>
          <xdr:spPr bwMode="auto">
            <a:xfrm flipH="1">
              <a:off x="3092870" y="18339711"/>
              <a:ext cx="74939" cy="42251"/>
            </a:xfrm>
            <a:prstGeom prst="line">
              <a:avLst/>
            </a:prstGeom>
            <a:noFill/>
            <a:ln w="9525">
              <a:solidFill>
                <a:srgbClr val="000000"/>
              </a:solidFill>
              <a:round/>
              <a:headEnd/>
              <a:tailEnd/>
            </a:ln>
          </xdr:spPr>
        </xdr:sp>
        <xdr:sp macro="" textlink="">
          <xdr:nvSpPr>
            <xdr:cNvPr id="4183" name="Line 359">
              <a:extLst>
                <a:ext uri="{FF2B5EF4-FFF2-40B4-BE49-F238E27FC236}">
                  <a16:creationId xmlns:a16="http://schemas.microsoft.com/office/drawing/2014/main" id="{00000000-0008-0000-0000-000057100000}"/>
                </a:ext>
              </a:extLst>
            </xdr:cNvPr>
            <xdr:cNvSpPr>
              <a:spLocks noChangeShapeType="1"/>
            </xdr:cNvSpPr>
          </xdr:nvSpPr>
          <xdr:spPr bwMode="auto">
            <a:xfrm flipH="1">
              <a:off x="3136584" y="18339711"/>
              <a:ext cx="74939" cy="42251"/>
            </a:xfrm>
            <a:prstGeom prst="line">
              <a:avLst/>
            </a:prstGeom>
            <a:noFill/>
            <a:ln w="9525">
              <a:solidFill>
                <a:srgbClr val="000000"/>
              </a:solidFill>
              <a:round/>
              <a:headEnd/>
              <a:tailEnd/>
            </a:ln>
          </xdr:spPr>
        </xdr:sp>
        <xdr:sp macro="" textlink="">
          <xdr:nvSpPr>
            <xdr:cNvPr id="4184" name="Line 360">
              <a:extLst>
                <a:ext uri="{FF2B5EF4-FFF2-40B4-BE49-F238E27FC236}">
                  <a16:creationId xmlns:a16="http://schemas.microsoft.com/office/drawing/2014/main" id="{00000000-0008-0000-0000-000058100000}"/>
                </a:ext>
              </a:extLst>
            </xdr:cNvPr>
            <xdr:cNvSpPr>
              <a:spLocks noChangeShapeType="1"/>
            </xdr:cNvSpPr>
          </xdr:nvSpPr>
          <xdr:spPr bwMode="auto">
            <a:xfrm>
              <a:off x="3224012" y="18339711"/>
              <a:ext cx="68694" cy="49293"/>
            </a:xfrm>
            <a:prstGeom prst="line">
              <a:avLst/>
            </a:prstGeom>
            <a:noFill/>
            <a:ln w="9525">
              <a:solidFill>
                <a:srgbClr val="000000"/>
              </a:solidFill>
              <a:round/>
              <a:headEnd/>
              <a:tailEnd/>
            </a:ln>
          </xdr:spPr>
        </xdr:sp>
        <xdr:sp macro="" textlink="">
          <xdr:nvSpPr>
            <xdr:cNvPr id="4185" name="Line 361">
              <a:extLst>
                <a:ext uri="{FF2B5EF4-FFF2-40B4-BE49-F238E27FC236}">
                  <a16:creationId xmlns:a16="http://schemas.microsoft.com/office/drawing/2014/main" id="{00000000-0008-0000-0000-000059100000}"/>
                </a:ext>
              </a:extLst>
            </xdr:cNvPr>
            <xdr:cNvSpPr>
              <a:spLocks noChangeShapeType="1"/>
            </xdr:cNvSpPr>
          </xdr:nvSpPr>
          <xdr:spPr bwMode="auto">
            <a:xfrm>
              <a:off x="3267727" y="18339711"/>
              <a:ext cx="62449" cy="49293"/>
            </a:xfrm>
            <a:prstGeom prst="line">
              <a:avLst/>
            </a:prstGeom>
            <a:noFill/>
            <a:ln w="9525">
              <a:solidFill>
                <a:srgbClr val="000000"/>
              </a:solidFill>
              <a:round/>
              <a:headEnd/>
              <a:tailEnd/>
            </a:ln>
          </xdr:spPr>
        </xdr:sp>
        <xdr:sp macro="" textlink="">
          <xdr:nvSpPr>
            <xdr:cNvPr id="4186" name="Line 362">
              <a:extLst>
                <a:ext uri="{FF2B5EF4-FFF2-40B4-BE49-F238E27FC236}">
                  <a16:creationId xmlns:a16="http://schemas.microsoft.com/office/drawing/2014/main" id="{00000000-0008-0000-0000-00005A100000}"/>
                </a:ext>
              </a:extLst>
            </xdr:cNvPr>
            <xdr:cNvSpPr>
              <a:spLocks noChangeShapeType="1"/>
            </xdr:cNvSpPr>
          </xdr:nvSpPr>
          <xdr:spPr bwMode="auto">
            <a:xfrm>
              <a:off x="3311441" y="18346753"/>
              <a:ext cx="62449" cy="49293"/>
            </a:xfrm>
            <a:prstGeom prst="line">
              <a:avLst/>
            </a:prstGeom>
            <a:noFill/>
            <a:ln w="9525">
              <a:solidFill>
                <a:srgbClr val="000000"/>
              </a:solidFill>
              <a:round/>
              <a:headEnd/>
              <a:tailEnd/>
            </a:ln>
          </xdr:spPr>
        </xdr:sp>
        <xdr:sp macro="" textlink="">
          <xdr:nvSpPr>
            <xdr:cNvPr id="4187" name="Line 293">
              <a:extLst>
                <a:ext uri="{FF2B5EF4-FFF2-40B4-BE49-F238E27FC236}">
                  <a16:creationId xmlns:a16="http://schemas.microsoft.com/office/drawing/2014/main" id="{00000000-0008-0000-0000-00005B100000}"/>
                </a:ext>
              </a:extLst>
            </xdr:cNvPr>
            <xdr:cNvSpPr>
              <a:spLocks noChangeShapeType="1"/>
            </xdr:cNvSpPr>
          </xdr:nvSpPr>
          <xdr:spPr bwMode="auto">
            <a:xfrm>
              <a:off x="2924258" y="18973475"/>
              <a:ext cx="2248159" cy="0"/>
            </a:xfrm>
            <a:prstGeom prst="line">
              <a:avLst/>
            </a:prstGeom>
            <a:noFill/>
            <a:ln w="9525">
              <a:solidFill>
                <a:srgbClr val="000000"/>
              </a:solidFill>
              <a:prstDash val="dash"/>
              <a:round/>
              <a:headEnd/>
              <a:tailEnd/>
            </a:ln>
          </xdr:spPr>
        </xdr:sp>
        <xdr:sp macro="" textlink="">
          <xdr:nvSpPr>
            <xdr:cNvPr id="4188" name="Line 294">
              <a:extLst>
                <a:ext uri="{FF2B5EF4-FFF2-40B4-BE49-F238E27FC236}">
                  <a16:creationId xmlns:a16="http://schemas.microsoft.com/office/drawing/2014/main" id="{00000000-0008-0000-0000-00005C100000}"/>
                </a:ext>
              </a:extLst>
            </xdr:cNvPr>
            <xdr:cNvSpPr>
              <a:spLocks noChangeShapeType="1"/>
            </xdr:cNvSpPr>
          </xdr:nvSpPr>
          <xdr:spPr bwMode="auto">
            <a:xfrm flipH="1">
              <a:off x="2924258" y="18860806"/>
              <a:ext cx="0" cy="119711"/>
            </a:xfrm>
            <a:prstGeom prst="line">
              <a:avLst/>
            </a:prstGeom>
            <a:noFill/>
            <a:ln w="9525">
              <a:solidFill>
                <a:srgbClr val="000000"/>
              </a:solidFill>
              <a:prstDash val="dash"/>
              <a:round/>
              <a:headEnd/>
              <a:tailEnd/>
            </a:ln>
          </xdr:spPr>
        </xdr:sp>
        <xdr:sp macro="" textlink="">
          <xdr:nvSpPr>
            <xdr:cNvPr id="4189" name="Line 295">
              <a:extLst>
                <a:ext uri="{FF2B5EF4-FFF2-40B4-BE49-F238E27FC236}">
                  <a16:creationId xmlns:a16="http://schemas.microsoft.com/office/drawing/2014/main" id="{00000000-0008-0000-0000-00005D100000}"/>
                </a:ext>
              </a:extLst>
            </xdr:cNvPr>
            <xdr:cNvSpPr>
              <a:spLocks noChangeShapeType="1"/>
            </xdr:cNvSpPr>
          </xdr:nvSpPr>
          <xdr:spPr bwMode="auto">
            <a:xfrm flipH="1">
              <a:off x="5172417" y="18853764"/>
              <a:ext cx="0" cy="112669"/>
            </a:xfrm>
            <a:prstGeom prst="line">
              <a:avLst/>
            </a:prstGeom>
            <a:noFill/>
            <a:ln w="9525">
              <a:solidFill>
                <a:srgbClr val="000000"/>
              </a:solidFill>
              <a:prstDash val="dash"/>
              <a:round/>
              <a:headEnd/>
              <a:tailEnd/>
            </a:ln>
          </xdr:spPr>
        </xdr:sp>
        <xdr:sp macro="" textlink="">
          <xdr:nvSpPr>
            <xdr:cNvPr id="4190" name="Line 296">
              <a:extLst>
                <a:ext uri="{FF2B5EF4-FFF2-40B4-BE49-F238E27FC236}">
                  <a16:creationId xmlns:a16="http://schemas.microsoft.com/office/drawing/2014/main" id="{00000000-0008-0000-0000-00005E100000}"/>
                </a:ext>
              </a:extLst>
            </xdr:cNvPr>
            <xdr:cNvSpPr>
              <a:spLocks noChangeShapeType="1"/>
            </xdr:cNvSpPr>
          </xdr:nvSpPr>
          <xdr:spPr bwMode="auto">
            <a:xfrm flipH="1">
              <a:off x="3817277" y="17607360"/>
              <a:ext cx="149877" cy="732350"/>
            </a:xfrm>
            <a:prstGeom prst="line">
              <a:avLst/>
            </a:prstGeom>
            <a:noFill/>
            <a:ln w="9525">
              <a:solidFill>
                <a:srgbClr val="000000"/>
              </a:solidFill>
              <a:round/>
              <a:headEnd/>
              <a:tailEnd/>
            </a:ln>
          </xdr:spPr>
        </xdr:sp>
        <xdr:sp macro="" textlink="">
          <xdr:nvSpPr>
            <xdr:cNvPr id="4191" name="Line 297">
              <a:extLst>
                <a:ext uri="{FF2B5EF4-FFF2-40B4-BE49-F238E27FC236}">
                  <a16:creationId xmlns:a16="http://schemas.microsoft.com/office/drawing/2014/main" id="{00000000-0008-0000-0000-00005F100000}"/>
                </a:ext>
              </a:extLst>
            </xdr:cNvPr>
            <xdr:cNvSpPr>
              <a:spLocks noChangeShapeType="1"/>
            </xdr:cNvSpPr>
          </xdr:nvSpPr>
          <xdr:spPr bwMode="auto">
            <a:xfrm flipH="1">
              <a:off x="3729848" y="18332669"/>
              <a:ext cx="87428" cy="352091"/>
            </a:xfrm>
            <a:prstGeom prst="line">
              <a:avLst/>
            </a:prstGeom>
            <a:noFill/>
            <a:ln w="9525">
              <a:solidFill>
                <a:srgbClr val="000000"/>
              </a:solidFill>
              <a:prstDash val="dash"/>
              <a:round/>
              <a:headEnd/>
              <a:tailEnd/>
            </a:ln>
          </xdr:spPr>
        </xdr:sp>
        <xdr:sp macro="" textlink="">
          <xdr:nvSpPr>
            <xdr:cNvPr id="4192" name="Line 298">
              <a:extLst>
                <a:ext uri="{FF2B5EF4-FFF2-40B4-BE49-F238E27FC236}">
                  <a16:creationId xmlns:a16="http://schemas.microsoft.com/office/drawing/2014/main" id="{00000000-0008-0000-0000-000060100000}"/>
                </a:ext>
              </a:extLst>
            </xdr:cNvPr>
            <xdr:cNvSpPr>
              <a:spLocks noChangeShapeType="1"/>
            </xdr:cNvSpPr>
          </xdr:nvSpPr>
          <xdr:spPr bwMode="auto">
            <a:xfrm>
              <a:off x="3973399" y="17614402"/>
              <a:ext cx="0" cy="725308"/>
            </a:xfrm>
            <a:prstGeom prst="line">
              <a:avLst/>
            </a:prstGeom>
            <a:noFill/>
            <a:ln w="9525">
              <a:solidFill>
                <a:srgbClr val="000000"/>
              </a:solidFill>
              <a:round/>
              <a:headEnd/>
              <a:tailEnd/>
            </a:ln>
          </xdr:spPr>
        </xdr:sp>
        <xdr:sp macro="" textlink="">
          <xdr:nvSpPr>
            <xdr:cNvPr id="4193" name="Line 299">
              <a:extLst>
                <a:ext uri="{FF2B5EF4-FFF2-40B4-BE49-F238E27FC236}">
                  <a16:creationId xmlns:a16="http://schemas.microsoft.com/office/drawing/2014/main" id="{00000000-0008-0000-0000-000061100000}"/>
                </a:ext>
              </a:extLst>
            </xdr:cNvPr>
            <xdr:cNvSpPr>
              <a:spLocks noChangeShapeType="1"/>
            </xdr:cNvSpPr>
          </xdr:nvSpPr>
          <xdr:spPr bwMode="auto">
            <a:xfrm>
              <a:off x="3973399" y="17607360"/>
              <a:ext cx="181102" cy="0"/>
            </a:xfrm>
            <a:prstGeom prst="line">
              <a:avLst/>
            </a:prstGeom>
            <a:noFill/>
            <a:ln w="9525">
              <a:solidFill>
                <a:srgbClr val="000000"/>
              </a:solidFill>
              <a:round/>
              <a:headEnd/>
              <a:tailEnd/>
            </a:ln>
          </xdr:spPr>
        </xdr:sp>
        <xdr:sp macro="" textlink="">
          <xdr:nvSpPr>
            <xdr:cNvPr id="4194" name="Line 300">
              <a:extLst>
                <a:ext uri="{FF2B5EF4-FFF2-40B4-BE49-F238E27FC236}">
                  <a16:creationId xmlns:a16="http://schemas.microsoft.com/office/drawing/2014/main" id="{00000000-0008-0000-0000-000062100000}"/>
                </a:ext>
              </a:extLst>
            </xdr:cNvPr>
            <xdr:cNvSpPr>
              <a:spLocks noChangeShapeType="1"/>
            </xdr:cNvSpPr>
          </xdr:nvSpPr>
          <xdr:spPr bwMode="auto">
            <a:xfrm>
              <a:off x="4154501" y="17607360"/>
              <a:ext cx="156122" cy="732350"/>
            </a:xfrm>
            <a:prstGeom prst="line">
              <a:avLst/>
            </a:prstGeom>
            <a:noFill/>
            <a:ln w="9525">
              <a:solidFill>
                <a:srgbClr val="000000"/>
              </a:solidFill>
              <a:round/>
              <a:headEnd/>
              <a:tailEnd/>
            </a:ln>
          </xdr:spPr>
        </xdr:sp>
        <xdr:sp macro="" textlink="">
          <xdr:nvSpPr>
            <xdr:cNvPr id="4195" name="Line 301">
              <a:extLst>
                <a:ext uri="{FF2B5EF4-FFF2-40B4-BE49-F238E27FC236}">
                  <a16:creationId xmlns:a16="http://schemas.microsoft.com/office/drawing/2014/main" id="{00000000-0008-0000-0000-000063100000}"/>
                </a:ext>
              </a:extLst>
            </xdr:cNvPr>
            <xdr:cNvSpPr>
              <a:spLocks noChangeShapeType="1"/>
            </xdr:cNvSpPr>
          </xdr:nvSpPr>
          <xdr:spPr bwMode="auto">
            <a:xfrm>
              <a:off x="4316868" y="18353794"/>
              <a:ext cx="87428" cy="323924"/>
            </a:xfrm>
            <a:prstGeom prst="line">
              <a:avLst/>
            </a:prstGeom>
            <a:noFill/>
            <a:ln w="9525">
              <a:solidFill>
                <a:srgbClr val="000000"/>
              </a:solidFill>
              <a:prstDash val="dash"/>
              <a:round/>
              <a:headEnd/>
              <a:tailEnd/>
            </a:ln>
          </xdr:spPr>
        </xdr:sp>
        <xdr:sp macro="" textlink="">
          <xdr:nvSpPr>
            <xdr:cNvPr id="4196" name="Line 302">
              <a:extLst>
                <a:ext uri="{FF2B5EF4-FFF2-40B4-BE49-F238E27FC236}">
                  <a16:creationId xmlns:a16="http://schemas.microsoft.com/office/drawing/2014/main" id="{00000000-0008-0000-0000-000064100000}"/>
                </a:ext>
              </a:extLst>
            </xdr:cNvPr>
            <xdr:cNvSpPr>
              <a:spLocks noChangeShapeType="1"/>
            </xdr:cNvSpPr>
          </xdr:nvSpPr>
          <xdr:spPr bwMode="auto">
            <a:xfrm>
              <a:off x="4148256" y="17614402"/>
              <a:ext cx="0" cy="725308"/>
            </a:xfrm>
            <a:prstGeom prst="line">
              <a:avLst/>
            </a:prstGeom>
            <a:noFill/>
            <a:ln w="9525">
              <a:solidFill>
                <a:srgbClr val="000000"/>
              </a:solidFill>
              <a:round/>
              <a:headEnd/>
              <a:tailEnd/>
            </a:ln>
          </xdr:spPr>
        </xdr:sp>
        <xdr:sp macro="" textlink="">
          <xdr:nvSpPr>
            <xdr:cNvPr id="290" name="Text Box 304">
              <a:extLst>
                <a:ext uri="{FF2B5EF4-FFF2-40B4-BE49-F238E27FC236}">
                  <a16:creationId xmlns:a16="http://schemas.microsoft.com/office/drawing/2014/main" id="{00000000-0008-0000-0000-000022010000}"/>
                </a:ext>
              </a:extLst>
            </xdr:cNvPr>
            <xdr:cNvSpPr txBox="1">
              <a:spLocks noChangeArrowheads="1"/>
            </xdr:cNvSpPr>
          </xdr:nvSpPr>
          <xdr:spPr bwMode="auto">
            <a:xfrm>
              <a:off x="2809042" y="18880042"/>
              <a:ext cx="185520" cy="1526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A</a:t>
              </a:r>
            </a:p>
          </xdr:txBody>
        </xdr:sp>
        <xdr:sp macro="" textlink="">
          <xdr:nvSpPr>
            <xdr:cNvPr id="4198" name="Line 8415">
              <a:extLst>
                <a:ext uri="{FF2B5EF4-FFF2-40B4-BE49-F238E27FC236}">
                  <a16:creationId xmlns:a16="http://schemas.microsoft.com/office/drawing/2014/main" id="{00000000-0008-0000-0000-000066100000}"/>
                </a:ext>
              </a:extLst>
            </xdr:cNvPr>
            <xdr:cNvSpPr>
              <a:spLocks noChangeShapeType="1"/>
            </xdr:cNvSpPr>
          </xdr:nvSpPr>
          <xdr:spPr bwMode="auto">
            <a:xfrm>
              <a:off x="3729848" y="18684760"/>
              <a:ext cx="668203" cy="0"/>
            </a:xfrm>
            <a:prstGeom prst="line">
              <a:avLst/>
            </a:prstGeom>
            <a:noFill/>
            <a:ln w="9525">
              <a:solidFill>
                <a:srgbClr val="000000"/>
              </a:solidFill>
              <a:prstDash val="dash"/>
              <a:round/>
              <a:headEnd/>
              <a:tailEnd/>
            </a:ln>
          </xdr:spPr>
        </xdr:sp>
        <xdr:sp macro="" textlink="">
          <xdr:nvSpPr>
            <xdr:cNvPr id="296" name="Text Box 305">
              <a:extLst>
                <a:ext uri="{FF2B5EF4-FFF2-40B4-BE49-F238E27FC236}">
                  <a16:creationId xmlns:a16="http://schemas.microsoft.com/office/drawing/2014/main" id="{00000000-0008-0000-0000-000028010000}"/>
                </a:ext>
              </a:extLst>
            </xdr:cNvPr>
            <xdr:cNvSpPr txBox="1">
              <a:spLocks noChangeArrowheads="1"/>
            </xdr:cNvSpPr>
          </xdr:nvSpPr>
          <xdr:spPr bwMode="auto">
            <a:xfrm>
              <a:off x="5166237" y="18890948"/>
              <a:ext cx="152781" cy="1526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700" b="0" i="0" strike="noStrike">
                  <a:solidFill>
                    <a:srgbClr val="000000"/>
                  </a:solidFill>
                  <a:latin typeface="Arial"/>
                  <a:cs typeface="Arial"/>
                </a:rPr>
                <a:t>B</a:t>
              </a:r>
            </a:p>
          </xdr:txBody>
        </xdr:sp>
      </xdr:grpSp>
      <xdr:sp macro="" textlink="">
        <xdr:nvSpPr>
          <xdr:cNvPr id="298" name="Rectangle 297">
            <a:extLst>
              <a:ext uri="{FF2B5EF4-FFF2-40B4-BE49-F238E27FC236}">
                <a16:creationId xmlns:a16="http://schemas.microsoft.com/office/drawing/2014/main" id="{00000000-0008-0000-0000-00002A010000}"/>
              </a:ext>
            </a:extLst>
          </xdr:cNvPr>
          <xdr:cNvSpPr/>
        </xdr:nvSpPr>
        <xdr:spPr>
          <a:xfrm>
            <a:off x="2695297" y="17005789"/>
            <a:ext cx="2596763" cy="2001756"/>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grpSp>
    <xdr:clientData/>
  </xdr:twoCellAnchor>
  <xdr:twoCellAnchor>
    <xdr:from>
      <xdr:col>4</xdr:col>
      <xdr:colOff>190500</xdr:colOff>
      <xdr:row>141</xdr:row>
      <xdr:rowOff>114300</xdr:rowOff>
    </xdr:from>
    <xdr:to>
      <xdr:col>7</xdr:col>
      <xdr:colOff>571500</xdr:colOff>
      <xdr:row>143</xdr:row>
      <xdr:rowOff>152400</xdr:rowOff>
    </xdr:to>
    <xdr:grpSp>
      <xdr:nvGrpSpPr>
        <xdr:cNvPr id="3081" name="Group 8493">
          <a:extLst>
            <a:ext uri="{FF2B5EF4-FFF2-40B4-BE49-F238E27FC236}">
              <a16:creationId xmlns:a16="http://schemas.microsoft.com/office/drawing/2014/main" id="{00000000-0008-0000-0000-0000090C0000}"/>
            </a:ext>
          </a:extLst>
        </xdr:cNvPr>
        <xdr:cNvGrpSpPr>
          <a:grpSpLocks/>
        </xdr:cNvGrpSpPr>
      </xdr:nvGrpSpPr>
      <xdr:grpSpPr bwMode="auto">
        <a:xfrm>
          <a:off x="2705100" y="28441650"/>
          <a:ext cx="2209800" cy="457200"/>
          <a:chOff x="277" y="1156"/>
          <a:chExt cx="226" cy="44"/>
        </a:xfrm>
      </xdr:grpSpPr>
      <xdr:grpSp>
        <xdr:nvGrpSpPr>
          <xdr:cNvPr id="4157" name="Group 8441">
            <a:extLst>
              <a:ext uri="{FF2B5EF4-FFF2-40B4-BE49-F238E27FC236}">
                <a16:creationId xmlns:a16="http://schemas.microsoft.com/office/drawing/2014/main" id="{00000000-0008-0000-0000-00003D100000}"/>
              </a:ext>
            </a:extLst>
          </xdr:cNvPr>
          <xdr:cNvGrpSpPr>
            <a:grpSpLocks/>
          </xdr:cNvGrpSpPr>
        </xdr:nvGrpSpPr>
        <xdr:grpSpPr bwMode="auto">
          <a:xfrm>
            <a:off x="277" y="1156"/>
            <a:ext cx="226" cy="44"/>
            <a:chOff x="461" y="649"/>
            <a:chExt cx="210" cy="68"/>
          </a:xfrm>
        </xdr:grpSpPr>
        <xdr:sp macro="" textlink="">
          <xdr:nvSpPr>
            <xdr:cNvPr id="529" name="Text Box 8442">
              <a:extLst>
                <a:ext uri="{FF2B5EF4-FFF2-40B4-BE49-F238E27FC236}">
                  <a16:creationId xmlns:a16="http://schemas.microsoft.com/office/drawing/2014/main" id="{00000000-0008-0000-0000-000011020000}"/>
                </a:ext>
              </a:extLst>
            </xdr:cNvPr>
            <xdr:cNvSpPr txBox="1">
              <a:spLocks noChangeArrowheads="1"/>
            </xdr:cNvSpPr>
          </xdr:nvSpPr>
          <xdr:spPr bwMode="auto">
            <a:xfrm>
              <a:off x="506" y="649"/>
              <a:ext cx="165" cy="33"/>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a:solidFill>
                    <a:srgbClr val="000000"/>
                  </a:solidFill>
                  <a:latin typeface="Symbol"/>
                </a:rPr>
                <a:t>b</a:t>
              </a:r>
              <a:r>
                <a:rPr lang="en-US" sz="1000" b="0" i="0" strike="noStrike">
                  <a:solidFill>
                    <a:srgbClr val="000000"/>
                  </a:solidFill>
                  <a:latin typeface="Arial"/>
                  <a:cs typeface="Arial"/>
                </a:rPr>
                <a:t> - √cos</a:t>
              </a:r>
              <a:r>
                <a:rPr lang="en-US" sz="1000" b="0" i="0" strike="noStrike" baseline="30000">
                  <a:solidFill>
                    <a:srgbClr val="000000"/>
                  </a:solidFill>
                  <a:latin typeface="Arial"/>
                  <a:cs typeface="Arial"/>
                </a:rPr>
                <a:t>2</a:t>
              </a:r>
              <a:r>
                <a:rPr lang="en-US" sz="1000" b="0" i="0" strike="noStrike">
                  <a:solidFill>
                    <a:srgbClr val="000000"/>
                  </a:solidFill>
                  <a:latin typeface="Arial"/>
                  <a:cs typeface="Arial"/>
                </a:rPr>
                <a:t> </a:t>
              </a:r>
              <a:r>
                <a:rPr lang="en-US" sz="1000" b="0" i="0" strike="noStrike">
                  <a:solidFill>
                    <a:srgbClr val="000000"/>
                  </a:solidFill>
                  <a:latin typeface="Symbol"/>
                </a:rPr>
                <a:t>b</a:t>
              </a:r>
              <a:r>
                <a:rPr lang="en-US" sz="1000" b="0" i="0" strike="noStrike">
                  <a:solidFill>
                    <a:srgbClr val="000000"/>
                  </a:solidFill>
                  <a:latin typeface="Arial"/>
                  <a:cs typeface="Arial"/>
                </a:rPr>
                <a:t> - cos</a:t>
              </a:r>
              <a:r>
                <a:rPr lang="en-US" sz="1000" b="0" i="0" strike="noStrike" baseline="30000">
                  <a:solidFill>
                    <a:srgbClr val="000000"/>
                  </a:solidFill>
                  <a:latin typeface="Arial"/>
                  <a:cs typeface="Arial"/>
                </a:rPr>
                <a:t>2</a:t>
              </a:r>
              <a:r>
                <a:rPr lang="en-US" sz="1000" b="0" i="0" strike="noStrike">
                  <a:solidFill>
                    <a:srgbClr val="000000"/>
                  </a:solidFill>
                  <a:latin typeface="Arial"/>
                  <a:cs typeface="Arial"/>
                </a:rPr>
                <a:t> </a:t>
              </a:r>
              <a:r>
                <a:rPr lang="en-US" sz="1000" b="0" i="0" strike="noStrike">
                  <a:solidFill>
                    <a:srgbClr val="000000"/>
                  </a:solidFill>
                  <a:latin typeface="Symbol"/>
                </a:rPr>
                <a:t>f</a:t>
              </a:r>
            </a:p>
          </xdr:txBody>
        </xdr:sp>
        <xdr:grpSp>
          <xdr:nvGrpSpPr>
            <xdr:cNvPr id="4160" name="Group 8443">
              <a:extLst>
                <a:ext uri="{FF2B5EF4-FFF2-40B4-BE49-F238E27FC236}">
                  <a16:creationId xmlns:a16="http://schemas.microsoft.com/office/drawing/2014/main" id="{00000000-0008-0000-0000-000040100000}"/>
                </a:ext>
              </a:extLst>
            </xdr:cNvPr>
            <xdr:cNvGrpSpPr>
              <a:grpSpLocks/>
            </xdr:cNvGrpSpPr>
          </xdr:nvGrpSpPr>
          <xdr:grpSpPr bwMode="auto">
            <a:xfrm>
              <a:off x="461" y="664"/>
              <a:ext cx="207" cy="53"/>
              <a:chOff x="461" y="588"/>
              <a:chExt cx="207" cy="92"/>
            </a:xfrm>
          </xdr:grpSpPr>
          <xdr:grpSp>
            <xdr:nvGrpSpPr>
              <xdr:cNvPr id="4161" name="Group 8444">
                <a:extLst>
                  <a:ext uri="{FF2B5EF4-FFF2-40B4-BE49-F238E27FC236}">
                    <a16:creationId xmlns:a16="http://schemas.microsoft.com/office/drawing/2014/main" id="{00000000-0008-0000-0000-000041100000}"/>
                  </a:ext>
                </a:extLst>
              </xdr:cNvPr>
              <xdr:cNvGrpSpPr>
                <a:grpSpLocks/>
              </xdr:cNvGrpSpPr>
            </xdr:nvGrpSpPr>
            <xdr:grpSpPr bwMode="auto">
              <a:xfrm>
                <a:off x="461" y="588"/>
                <a:ext cx="207" cy="92"/>
                <a:chOff x="461" y="518"/>
                <a:chExt cx="207" cy="124"/>
              </a:xfrm>
            </xdr:grpSpPr>
            <xdr:grpSp>
              <xdr:nvGrpSpPr>
                <xdr:cNvPr id="4163" name="Group 8445">
                  <a:extLst>
                    <a:ext uri="{FF2B5EF4-FFF2-40B4-BE49-F238E27FC236}">
                      <a16:creationId xmlns:a16="http://schemas.microsoft.com/office/drawing/2014/main" id="{00000000-0008-0000-0000-000043100000}"/>
                    </a:ext>
                  </a:extLst>
                </xdr:cNvPr>
                <xdr:cNvGrpSpPr>
                  <a:grpSpLocks/>
                </xdr:cNvGrpSpPr>
              </xdr:nvGrpSpPr>
              <xdr:grpSpPr bwMode="auto">
                <a:xfrm>
                  <a:off x="461" y="518"/>
                  <a:ext cx="173" cy="88"/>
                  <a:chOff x="461" y="518"/>
                  <a:chExt cx="173" cy="88"/>
                </a:xfrm>
              </xdr:grpSpPr>
              <xdr:sp macro="" textlink="">
                <xdr:nvSpPr>
                  <xdr:cNvPr id="535" name="Text Box 8446">
                    <a:extLst>
                      <a:ext uri="{FF2B5EF4-FFF2-40B4-BE49-F238E27FC236}">
                        <a16:creationId xmlns:a16="http://schemas.microsoft.com/office/drawing/2014/main" id="{00000000-0008-0000-0000-000017020000}"/>
                      </a:ext>
                    </a:extLst>
                  </xdr:cNvPr>
                  <xdr:cNvSpPr txBox="1">
                    <a:spLocks noChangeArrowheads="1"/>
                  </xdr:cNvSpPr>
                </xdr:nvSpPr>
                <xdr:spPr bwMode="auto">
                  <a:xfrm>
                    <a:off x="461" y="519"/>
                    <a:ext cx="52" cy="86"/>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a:solidFill>
                          <a:srgbClr val="000000"/>
                        </a:solidFill>
                        <a:latin typeface="Symbol"/>
                      </a:rPr>
                      <a:t>b</a:t>
                    </a:r>
                    <a:r>
                      <a:rPr lang="en-US" sz="1000" b="0" i="0" strike="noStrike">
                        <a:solidFill>
                          <a:srgbClr val="000000"/>
                        </a:solidFill>
                        <a:latin typeface="Arial"/>
                        <a:cs typeface="Arial"/>
                      </a:rPr>
                      <a:t> [ </a:t>
                    </a:r>
                  </a:p>
                </xdr:txBody>
              </xdr:sp>
              <xdr:sp macro="" textlink="">
                <xdr:nvSpPr>
                  <xdr:cNvPr id="4166" name="Line 8447">
                    <a:extLst>
                      <a:ext uri="{FF2B5EF4-FFF2-40B4-BE49-F238E27FC236}">
                        <a16:creationId xmlns:a16="http://schemas.microsoft.com/office/drawing/2014/main" id="{00000000-0008-0000-0000-000046100000}"/>
                      </a:ext>
                    </a:extLst>
                  </xdr:cNvPr>
                  <xdr:cNvSpPr>
                    <a:spLocks noChangeShapeType="1"/>
                  </xdr:cNvSpPr>
                </xdr:nvSpPr>
                <xdr:spPr bwMode="auto">
                  <a:xfrm>
                    <a:off x="503" y="556"/>
                    <a:ext cx="131" cy="0"/>
                  </a:xfrm>
                  <a:prstGeom prst="line">
                    <a:avLst/>
                  </a:prstGeom>
                  <a:noFill/>
                  <a:ln w="9525">
                    <a:solidFill>
                      <a:srgbClr val="000000"/>
                    </a:solidFill>
                    <a:round/>
                    <a:headEnd/>
                    <a:tailEnd/>
                  </a:ln>
                </xdr:spPr>
              </xdr:sp>
            </xdr:grpSp>
            <xdr:sp macro="" textlink="">
              <xdr:nvSpPr>
                <xdr:cNvPr id="534" name="Text Box 8448">
                  <a:extLst>
                    <a:ext uri="{FF2B5EF4-FFF2-40B4-BE49-F238E27FC236}">
                      <a16:creationId xmlns:a16="http://schemas.microsoft.com/office/drawing/2014/main" id="{00000000-0008-0000-0000-000016020000}"/>
                    </a:ext>
                  </a:extLst>
                </xdr:cNvPr>
                <xdr:cNvSpPr txBox="1">
                  <a:spLocks noChangeArrowheads="1"/>
                </xdr:cNvSpPr>
              </xdr:nvSpPr>
              <xdr:spPr bwMode="auto">
                <a:xfrm>
                  <a:off x="504" y="556"/>
                  <a:ext cx="164" cy="86"/>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a:solidFill>
                        <a:srgbClr val="000000"/>
                      </a:solidFill>
                      <a:latin typeface="Symbol"/>
                    </a:rPr>
                    <a:t>b</a:t>
                  </a:r>
                  <a:r>
                    <a:rPr lang="en-US" sz="1000" b="0" i="0" strike="noStrike">
                      <a:solidFill>
                        <a:srgbClr val="000000"/>
                      </a:solidFill>
                      <a:latin typeface="Arial"/>
                      <a:cs typeface="Arial"/>
                    </a:rPr>
                    <a:t> + √cos</a:t>
                  </a:r>
                  <a:r>
                    <a:rPr lang="en-US" sz="1000" b="0" i="0" strike="noStrike" baseline="30000">
                      <a:solidFill>
                        <a:srgbClr val="000000"/>
                      </a:solidFill>
                      <a:latin typeface="Arial"/>
                      <a:cs typeface="Arial"/>
                    </a:rPr>
                    <a:t>2</a:t>
                  </a:r>
                  <a:r>
                    <a:rPr lang="en-US" sz="1000" b="0" i="0" strike="noStrike">
                      <a:solidFill>
                        <a:srgbClr val="000000"/>
                      </a:solidFill>
                      <a:latin typeface="Arial"/>
                      <a:cs typeface="Arial"/>
                    </a:rPr>
                    <a:t> </a:t>
                  </a:r>
                  <a:r>
                    <a:rPr lang="en-US" sz="1000" b="0" i="0" strike="noStrike">
                      <a:solidFill>
                        <a:srgbClr val="000000"/>
                      </a:solidFill>
                      <a:latin typeface="Symbol"/>
                    </a:rPr>
                    <a:t>b</a:t>
                  </a:r>
                  <a:r>
                    <a:rPr lang="en-US" sz="1000" b="0" i="0" strike="noStrike">
                      <a:solidFill>
                        <a:srgbClr val="000000"/>
                      </a:solidFill>
                      <a:latin typeface="Arial"/>
                      <a:cs typeface="Arial"/>
                    </a:rPr>
                    <a:t> - cos</a:t>
                  </a:r>
                  <a:r>
                    <a:rPr lang="en-US" sz="1000" b="0" i="0" strike="noStrike" baseline="30000">
                      <a:solidFill>
                        <a:srgbClr val="000000"/>
                      </a:solidFill>
                      <a:latin typeface="Arial"/>
                      <a:cs typeface="Arial"/>
                    </a:rPr>
                    <a:t>2</a:t>
                  </a:r>
                  <a:r>
                    <a:rPr lang="en-US" sz="1000" b="0" i="0" strike="noStrike">
                      <a:solidFill>
                        <a:srgbClr val="000000"/>
                      </a:solidFill>
                      <a:latin typeface="Arial"/>
                      <a:cs typeface="Arial"/>
                    </a:rPr>
                    <a:t> </a:t>
                  </a:r>
                  <a:r>
                    <a:rPr lang="en-US" sz="1000" b="0" i="0" strike="noStrike">
                      <a:solidFill>
                        <a:srgbClr val="000000"/>
                      </a:solidFill>
                      <a:latin typeface="Symbol"/>
                    </a:rPr>
                    <a:t>f</a:t>
                  </a:r>
                </a:p>
              </xdr:txBody>
            </xdr:sp>
          </xdr:grpSp>
          <xdr:sp macro="" textlink="">
            <xdr:nvSpPr>
              <xdr:cNvPr id="532" name="Text Box 8449">
                <a:extLst>
                  <a:ext uri="{FF2B5EF4-FFF2-40B4-BE49-F238E27FC236}">
                    <a16:creationId xmlns:a16="http://schemas.microsoft.com/office/drawing/2014/main" id="{00000000-0008-0000-0000-000014020000}"/>
                  </a:ext>
                </a:extLst>
              </xdr:cNvPr>
              <xdr:cNvSpPr txBox="1">
                <a:spLocks noChangeArrowheads="1"/>
              </xdr:cNvSpPr>
            </xdr:nvSpPr>
            <xdr:spPr bwMode="auto">
              <a:xfrm>
                <a:off x="634" y="591"/>
                <a:ext cx="21" cy="7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a:t>
                </a:r>
              </a:p>
            </xdr:txBody>
          </xdr:sp>
        </xdr:grpSp>
      </xdr:grpSp>
      <xdr:sp macro="" textlink="">
        <xdr:nvSpPr>
          <xdr:cNvPr id="528" name="Text Box 8450">
            <a:extLst>
              <a:ext uri="{FF2B5EF4-FFF2-40B4-BE49-F238E27FC236}">
                <a16:creationId xmlns:a16="http://schemas.microsoft.com/office/drawing/2014/main" id="{00000000-0008-0000-0000-000010020000}"/>
              </a:ext>
            </a:extLst>
          </xdr:cNvPr>
          <xdr:cNvSpPr txBox="1">
            <a:spLocks noChangeArrowheads="1"/>
          </xdr:cNvSpPr>
        </xdr:nvSpPr>
        <xdr:spPr bwMode="auto">
          <a:xfrm>
            <a:off x="475" y="1165"/>
            <a:ext cx="21" cy="25"/>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a:t>
            </a:r>
          </a:p>
        </xdr:txBody>
      </xdr:sp>
    </xdr:grpSp>
    <xdr:clientData/>
  </xdr:twoCellAnchor>
  <xdr:twoCellAnchor>
    <xdr:from>
      <xdr:col>5</xdr:col>
      <xdr:colOff>171450</xdr:colOff>
      <xdr:row>174</xdr:row>
      <xdr:rowOff>171450</xdr:rowOff>
    </xdr:from>
    <xdr:to>
      <xdr:col>8</xdr:col>
      <xdr:colOff>114300</xdr:colOff>
      <xdr:row>181</xdr:row>
      <xdr:rowOff>171450</xdr:rowOff>
    </xdr:to>
    <xdr:grpSp>
      <xdr:nvGrpSpPr>
        <xdr:cNvPr id="3082" name="Group 517">
          <a:extLst>
            <a:ext uri="{FF2B5EF4-FFF2-40B4-BE49-F238E27FC236}">
              <a16:creationId xmlns:a16="http://schemas.microsoft.com/office/drawing/2014/main" id="{00000000-0008-0000-0000-00000A0C0000}"/>
            </a:ext>
          </a:extLst>
        </xdr:cNvPr>
        <xdr:cNvGrpSpPr>
          <a:grpSpLocks/>
        </xdr:cNvGrpSpPr>
      </xdr:nvGrpSpPr>
      <xdr:grpSpPr bwMode="auto">
        <a:xfrm>
          <a:off x="3295650" y="34880550"/>
          <a:ext cx="1771650" cy="1333500"/>
          <a:chOff x="176" y="2409"/>
          <a:chExt cx="198" cy="160"/>
        </a:xfrm>
      </xdr:grpSpPr>
      <xdr:grpSp>
        <xdr:nvGrpSpPr>
          <xdr:cNvPr id="4143" name="Group 318">
            <a:extLst>
              <a:ext uri="{FF2B5EF4-FFF2-40B4-BE49-F238E27FC236}">
                <a16:creationId xmlns:a16="http://schemas.microsoft.com/office/drawing/2014/main" id="{00000000-0008-0000-0000-00002F100000}"/>
              </a:ext>
            </a:extLst>
          </xdr:cNvPr>
          <xdr:cNvGrpSpPr>
            <a:grpSpLocks/>
          </xdr:cNvGrpSpPr>
        </xdr:nvGrpSpPr>
        <xdr:grpSpPr bwMode="auto">
          <a:xfrm>
            <a:off x="176" y="2412"/>
            <a:ext cx="188" cy="153"/>
            <a:chOff x="176" y="1980"/>
            <a:chExt cx="188" cy="153"/>
          </a:xfrm>
        </xdr:grpSpPr>
        <xdr:sp macro="" textlink="">
          <xdr:nvSpPr>
            <xdr:cNvPr id="4145" name="AutoShape 303">
              <a:extLst>
                <a:ext uri="{FF2B5EF4-FFF2-40B4-BE49-F238E27FC236}">
                  <a16:creationId xmlns:a16="http://schemas.microsoft.com/office/drawing/2014/main" id="{00000000-0008-0000-0000-000031100000}"/>
                </a:ext>
              </a:extLst>
            </xdr:cNvPr>
            <xdr:cNvSpPr>
              <a:spLocks noChangeArrowheads="1"/>
            </xdr:cNvSpPr>
          </xdr:nvSpPr>
          <xdr:spPr bwMode="auto">
            <a:xfrm>
              <a:off x="204" y="1980"/>
              <a:ext cx="159" cy="81"/>
            </a:xfrm>
            <a:prstGeom prst="rtTriangle">
              <a:avLst/>
            </a:prstGeom>
            <a:noFill/>
            <a:ln w="9525">
              <a:solidFill>
                <a:srgbClr val="000000"/>
              </a:solidFill>
              <a:miter lim="800000"/>
              <a:headEnd/>
              <a:tailEnd/>
            </a:ln>
          </xdr:spPr>
        </xdr:sp>
        <xdr:sp macro="" textlink="">
          <xdr:nvSpPr>
            <xdr:cNvPr id="4146" name="AutoShape 304">
              <a:extLst>
                <a:ext uri="{FF2B5EF4-FFF2-40B4-BE49-F238E27FC236}">
                  <a16:creationId xmlns:a16="http://schemas.microsoft.com/office/drawing/2014/main" id="{00000000-0008-0000-0000-000032100000}"/>
                </a:ext>
              </a:extLst>
            </xdr:cNvPr>
            <xdr:cNvSpPr>
              <a:spLocks noChangeArrowheads="1"/>
            </xdr:cNvSpPr>
          </xdr:nvSpPr>
          <xdr:spPr bwMode="auto">
            <a:xfrm flipV="1">
              <a:off x="204" y="2061"/>
              <a:ext cx="160" cy="72"/>
            </a:xfrm>
            <a:prstGeom prst="rtTriangle">
              <a:avLst/>
            </a:prstGeom>
            <a:noFill/>
            <a:ln w="9525">
              <a:solidFill>
                <a:srgbClr val="000000"/>
              </a:solidFill>
              <a:miter lim="800000"/>
              <a:headEnd/>
              <a:tailEnd/>
            </a:ln>
          </xdr:spPr>
        </xdr:sp>
        <xdr:sp macro="" textlink="">
          <xdr:nvSpPr>
            <xdr:cNvPr id="4147" name="Line 305">
              <a:extLst>
                <a:ext uri="{FF2B5EF4-FFF2-40B4-BE49-F238E27FC236}">
                  <a16:creationId xmlns:a16="http://schemas.microsoft.com/office/drawing/2014/main" id="{00000000-0008-0000-0000-000033100000}"/>
                </a:ext>
              </a:extLst>
            </xdr:cNvPr>
            <xdr:cNvSpPr>
              <a:spLocks noChangeShapeType="1"/>
            </xdr:cNvSpPr>
          </xdr:nvSpPr>
          <xdr:spPr bwMode="auto">
            <a:xfrm flipV="1">
              <a:off x="204" y="2019"/>
              <a:ext cx="0" cy="14"/>
            </a:xfrm>
            <a:prstGeom prst="line">
              <a:avLst/>
            </a:prstGeom>
            <a:noFill/>
            <a:ln w="9525">
              <a:solidFill>
                <a:srgbClr val="000000"/>
              </a:solidFill>
              <a:round/>
              <a:headEnd/>
              <a:tailEnd type="arrow" w="med" len="med"/>
            </a:ln>
          </xdr:spPr>
        </xdr:sp>
        <xdr:sp macro="" textlink="">
          <xdr:nvSpPr>
            <xdr:cNvPr id="4148" name="Line 306">
              <a:extLst>
                <a:ext uri="{FF2B5EF4-FFF2-40B4-BE49-F238E27FC236}">
                  <a16:creationId xmlns:a16="http://schemas.microsoft.com/office/drawing/2014/main" id="{00000000-0008-0000-0000-000034100000}"/>
                </a:ext>
              </a:extLst>
            </xdr:cNvPr>
            <xdr:cNvSpPr>
              <a:spLocks noChangeShapeType="1"/>
            </xdr:cNvSpPr>
          </xdr:nvSpPr>
          <xdr:spPr bwMode="auto">
            <a:xfrm>
              <a:off x="204" y="2089"/>
              <a:ext cx="0" cy="20"/>
            </a:xfrm>
            <a:prstGeom prst="line">
              <a:avLst/>
            </a:prstGeom>
            <a:noFill/>
            <a:ln w="9525">
              <a:solidFill>
                <a:srgbClr val="000000"/>
              </a:solidFill>
              <a:round/>
              <a:headEnd/>
              <a:tailEnd type="arrow" w="med" len="med"/>
            </a:ln>
          </xdr:spPr>
        </xdr:sp>
        <xdr:sp macro="" textlink="">
          <xdr:nvSpPr>
            <xdr:cNvPr id="4149" name="Arc 307">
              <a:extLst>
                <a:ext uri="{FF2B5EF4-FFF2-40B4-BE49-F238E27FC236}">
                  <a16:creationId xmlns:a16="http://schemas.microsoft.com/office/drawing/2014/main" id="{00000000-0008-0000-0000-000035100000}"/>
                </a:ext>
              </a:extLst>
            </xdr:cNvPr>
            <xdr:cNvSpPr>
              <a:spLocks/>
            </xdr:cNvSpPr>
          </xdr:nvSpPr>
          <xdr:spPr bwMode="auto">
            <a:xfrm flipH="1">
              <a:off x="315" y="2036"/>
              <a:ext cx="8" cy="22"/>
            </a:xfrm>
            <a:custGeom>
              <a:avLst/>
              <a:gdLst>
                <a:gd name="T0" fmla="*/ 4 w 21600"/>
                <a:gd name="T1" fmla="*/ 0 h 18322"/>
                <a:gd name="T2" fmla="*/ 8 w 21600"/>
                <a:gd name="T3" fmla="*/ 22 h 18322"/>
                <a:gd name="T4" fmla="*/ 0 w 21600"/>
                <a:gd name="T5" fmla="*/ 22 h 18322"/>
                <a:gd name="T6" fmla="*/ 0 60000 65536"/>
                <a:gd name="T7" fmla="*/ 0 60000 65536"/>
                <a:gd name="T8" fmla="*/ 0 60000 65536"/>
                <a:gd name="T9" fmla="*/ 0 w 21600"/>
                <a:gd name="T10" fmla="*/ 0 h 18322"/>
                <a:gd name="T11" fmla="*/ 21600 w 21600"/>
                <a:gd name="T12" fmla="*/ 18322 h 18322"/>
              </a:gdLst>
              <a:ahLst/>
              <a:cxnLst>
                <a:cxn ang="T6">
                  <a:pos x="T0" y="T1"/>
                </a:cxn>
                <a:cxn ang="T7">
                  <a:pos x="T2" y="T3"/>
                </a:cxn>
                <a:cxn ang="T8">
                  <a:pos x="T4" y="T5"/>
                </a:cxn>
              </a:cxnLst>
              <a:rect l="T9" t="T10" r="T11" b="T12"/>
              <a:pathLst>
                <a:path w="21600" h="18322" fill="none" extrusionOk="0">
                  <a:moveTo>
                    <a:pt x="11439" y="-1"/>
                  </a:moveTo>
                  <a:cubicBezTo>
                    <a:pt x="17759" y="3945"/>
                    <a:pt x="21600" y="10870"/>
                    <a:pt x="21600" y="18322"/>
                  </a:cubicBezTo>
                </a:path>
                <a:path w="21600" h="18322" stroke="0" extrusionOk="0">
                  <a:moveTo>
                    <a:pt x="11439" y="-1"/>
                  </a:moveTo>
                  <a:cubicBezTo>
                    <a:pt x="17759" y="3945"/>
                    <a:pt x="21600" y="10870"/>
                    <a:pt x="21600" y="18322"/>
                  </a:cubicBezTo>
                  <a:lnTo>
                    <a:pt x="0" y="18322"/>
                  </a:lnTo>
                  <a:close/>
                </a:path>
              </a:pathLst>
            </a:custGeom>
            <a:noFill/>
            <a:ln w="9525">
              <a:solidFill>
                <a:srgbClr val="000000"/>
              </a:solidFill>
              <a:round/>
              <a:headEnd/>
              <a:tailEnd/>
            </a:ln>
          </xdr:spPr>
        </xdr:sp>
        <xdr:sp macro="" textlink="">
          <xdr:nvSpPr>
            <xdr:cNvPr id="4150" name="Arc 308">
              <a:extLst>
                <a:ext uri="{FF2B5EF4-FFF2-40B4-BE49-F238E27FC236}">
                  <a16:creationId xmlns:a16="http://schemas.microsoft.com/office/drawing/2014/main" id="{00000000-0008-0000-0000-000036100000}"/>
                </a:ext>
              </a:extLst>
            </xdr:cNvPr>
            <xdr:cNvSpPr>
              <a:spLocks/>
            </xdr:cNvSpPr>
          </xdr:nvSpPr>
          <xdr:spPr bwMode="auto">
            <a:xfrm>
              <a:off x="313" y="2061"/>
              <a:ext cx="8" cy="23"/>
            </a:xfrm>
            <a:custGeom>
              <a:avLst/>
              <a:gdLst>
                <a:gd name="T0" fmla="*/ 1 w 21600"/>
                <a:gd name="T1" fmla="*/ 23 h 21503"/>
                <a:gd name="T2" fmla="*/ 1 w 21600"/>
                <a:gd name="T3" fmla="*/ 0 h 21503"/>
                <a:gd name="T4" fmla="*/ 8 w 21600"/>
                <a:gd name="T5" fmla="*/ 11 h 21503"/>
                <a:gd name="T6" fmla="*/ 0 60000 65536"/>
                <a:gd name="T7" fmla="*/ 0 60000 65536"/>
                <a:gd name="T8" fmla="*/ 0 60000 65536"/>
                <a:gd name="T9" fmla="*/ 0 w 21600"/>
                <a:gd name="T10" fmla="*/ 0 h 21503"/>
                <a:gd name="T11" fmla="*/ 21600 w 21600"/>
                <a:gd name="T12" fmla="*/ 21503 h 21503"/>
              </a:gdLst>
              <a:ahLst/>
              <a:cxnLst>
                <a:cxn ang="T6">
                  <a:pos x="T0" y="T1"/>
                </a:cxn>
                <a:cxn ang="T7">
                  <a:pos x="T2" y="T3"/>
                </a:cxn>
                <a:cxn ang="T8">
                  <a:pos x="T4" y="T5"/>
                </a:cxn>
              </a:cxnLst>
              <a:rect l="T9" t="T10" r="T11" b="T12"/>
              <a:pathLst>
                <a:path w="21600" h="21503" fill="none" extrusionOk="0">
                  <a:moveTo>
                    <a:pt x="3321" y="21502"/>
                  </a:moveTo>
                  <a:cubicBezTo>
                    <a:pt x="1151" y="18056"/>
                    <a:pt x="0" y="14066"/>
                    <a:pt x="0" y="9994"/>
                  </a:cubicBezTo>
                  <a:cubicBezTo>
                    <a:pt x="-1" y="6513"/>
                    <a:pt x="840" y="3085"/>
                    <a:pt x="2451" y="0"/>
                  </a:cubicBezTo>
                </a:path>
                <a:path w="21600" h="21503" stroke="0" extrusionOk="0">
                  <a:moveTo>
                    <a:pt x="3321" y="21502"/>
                  </a:moveTo>
                  <a:cubicBezTo>
                    <a:pt x="1151" y="18056"/>
                    <a:pt x="0" y="14066"/>
                    <a:pt x="0" y="9994"/>
                  </a:cubicBezTo>
                  <a:cubicBezTo>
                    <a:pt x="-1" y="6513"/>
                    <a:pt x="840" y="3085"/>
                    <a:pt x="2451" y="0"/>
                  </a:cubicBezTo>
                  <a:lnTo>
                    <a:pt x="21600" y="9994"/>
                  </a:lnTo>
                  <a:close/>
                </a:path>
              </a:pathLst>
            </a:custGeom>
            <a:noFill/>
            <a:ln w="9525">
              <a:solidFill>
                <a:srgbClr val="000000"/>
              </a:solidFill>
              <a:round/>
              <a:headEnd/>
              <a:tailEnd/>
            </a:ln>
          </xdr:spPr>
        </xdr:sp>
        <xdr:sp macro="" textlink="">
          <xdr:nvSpPr>
            <xdr:cNvPr id="546" name="Text Box 310">
              <a:extLst>
                <a:ext uri="{FF2B5EF4-FFF2-40B4-BE49-F238E27FC236}">
                  <a16:creationId xmlns:a16="http://schemas.microsoft.com/office/drawing/2014/main" id="{00000000-0008-0000-0000-000022020000}"/>
                </a:ext>
              </a:extLst>
            </xdr:cNvPr>
            <xdr:cNvSpPr txBox="1">
              <a:spLocks noChangeArrowheads="1"/>
            </xdr:cNvSpPr>
          </xdr:nvSpPr>
          <xdr:spPr bwMode="auto">
            <a:xfrm>
              <a:off x="290" y="2070"/>
              <a:ext cx="18" cy="13"/>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º</a:t>
              </a:r>
            </a:p>
          </xdr:txBody>
        </xdr:sp>
        <xdr:sp macro="" textlink="">
          <xdr:nvSpPr>
            <xdr:cNvPr id="547" name="Text Box 311">
              <a:extLst>
                <a:ext uri="{FF2B5EF4-FFF2-40B4-BE49-F238E27FC236}">
                  <a16:creationId xmlns:a16="http://schemas.microsoft.com/office/drawing/2014/main" id="{00000000-0008-0000-0000-000023020000}"/>
                </a:ext>
              </a:extLst>
            </xdr:cNvPr>
            <xdr:cNvSpPr txBox="1">
              <a:spLocks noChangeArrowheads="1"/>
            </xdr:cNvSpPr>
          </xdr:nvSpPr>
          <xdr:spPr bwMode="auto">
            <a:xfrm flipH="1">
              <a:off x="289" y="2025"/>
              <a:ext cx="13" cy="24"/>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º</a:t>
              </a:r>
            </a:p>
          </xdr:txBody>
        </xdr:sp>
        <xdr:sp macro="" textlink="">
          <xdr:nvSpPr>
            <xdr:cNvPr id="4153" name="Line 312">
              <a:extLst>
                <a:ext uri="{FF2B5EF4-FFF2-40B4-BE49-F238E27FC236}">
                  <a16:creationId xmlns:a16="http://schemas.microsoft.com/office/drawing/2014/main" id="{00000000-0008-0000-0000-000039100000}"/>
                </a:ext>
              </a:extLst>
            </xdr:cNvPr>
            <xdr:cNvSpPr>
              <a:spLocks noChangeShapeType="1"/>
            </xdr:cNvSpPr>
          </xdr:nvSpPr>
          <xdr:spPr bwMode="auto">
            <a:xfrm flipH="1">
              <a:off x="239" y="2061"/>
              <a:ext cx="42" cy="0"/>
            </a:xfrm>
            <a:prstGeom prst="line">
              <a:avLst/>
            </a:prstGeom>
            <a:noFill/>
            <a:ln w="9525">
              <a:solidFill>
                <a:srgbClr val="000000"/>
              </a:solidFill>
              <a:round/>
              <a:headEnd/>
              <a:tailEnd type="arrow" w="med" len="med"/>
            </a:ln>
          </xdr:spPr>
        </xdr:sp>
        <xdr:sp macro="" textlink="">
          <xdr:nvSpPr>
            <xdr:cNvPr id="549" name="Text Box 313">
              <a:extLst>
                <a:ext uri="{FF2B5EF4-FFF2-40B4-BE49-F238E27FC236}">
                  <a16:creationId xmlns:a16="http://schemas.microsoft.com/office/drawing/2014/main" id="{00000000-0008-0000-0000-000025020000}"/>
                </a:ext>
              </a:extLst>
            </xdr:cNvPr>
            <xdr:cNvSpPr txBox="1">
              <a:spLocks noChangeArrowheads="1"/>
            </xdr:cNvSpPr>
          </xdr:nvSpPr>
          <xdr:spPr bwMode="auto">
            <a:xfrm>
              <a:off x="219" y="2058"/>
              <a:ext cx="38" cy="3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a</a:t>
              </a:r>
              <a:r>
                <a:rPr lang="en-US" sz="1000" b="0" i="0" strike="noStrike" baseline="-25000">
                  <a:solidFill>
                    <a:srgbClr val="000000"/>
                  </a:solidFill>
                  <a:latin typeface="Arial"/>
                  <a:cs typeface="Arial"/>
                </a:rPr>
                <a:t>h</a:t>
              </a:r>
            </a:p>
          </xdr:txBody>
        </xdr:sp>
        <xdr:sp macro="" textlink="">
          <xdr:nvSpPr>
            <xdr:cNvPr id="550" name="Text Box 314">
              <a:extLst>
                <a:ext uri="{FF2B5EF4-FFF2-40B4-BE49-F238E27FC236}">
                  <a16:creationId xmlns:a16="http://schemas.microsoft.com/office/drawing/2014/main" id="{00000000-0008-0000-0000-000026020000}"/>
                </a:ext>
              </a:extLst>
            </xdr:cNvPr>
            <xdr:cNvSpPr txBox="1">
              <a:spLocks noChangeArrowheads="1"/>
            </xdr:cNvSpPr>
          </xdr:nvSpPr>
          <xdr:spPr bwMode="auto">
            <a:xfrm>
              <a:off x="176" y="2019"/>
              <a:ext cx="36"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a</a:t>
              </a:r>
              <a:r>
                <a:rPr lang="en-US" sz="1000" b="0" i="0" strike="noStrike" baseline="-25000">
                  <a:solidFill>
                    <a:srgbClr val="000000"/>
                  </a:solidFill>
                  <a:latin typeface="Arial"/>
                  <a:cs typeface="Arial"/>
                </a:rPr>
                <a:t>v</a:t>
              </a:r>
            </a:p>
          </xdr:txBody>
        </xdr:sp>
        <xdr:sp macro="" textlink="">
          <xdr:nvSpPr>
            <xdr:cNvPr id="551" name="Text Box 315">
              <a:extLst>
                <a:ext uri="{FF2B5EF4-FFF2-40B4-BE49-F238E27FC236}">
                  <a16:creationId xmlns:a16="http://schemas.microsoft.com/office/drawing/2014/main" id="{00000000-0008-0000-0000-000027020000}"/>
                </a:ext>
              </a:extLst>
            </xdr:cNvPr>
            <xdr:cNvSpPr txBox="1">
              <a:spLocks noChangeArrowheads="1"/>
            </xdr:cNvSpPr>
          </xdr:nvSpPr>
          <xdr:spPr bwMode="auto">
            <a:xfrm>
              <a:off x="179" y="2070"/>
              <a:ext cx="40" cy="38"/>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a</a:t>
              </a:r>
              <a:r>
                <a:rPr lang="en-US" sz="1000" b="0" i="0" strike="noStrike" baseline="-25000">
                  <a:solidFill>
                    <a:srgbClr val="000000"/>
                  </a:solidFill>
                  <a:latin typeface="Arial"/>
                  <a:cs typeface="Arial"/>
                </a:rPr>
                <a:t>v</a:t>
              </a:r>
            </a:p>
          </xdr:txBody>
        </xdr:sp>
      </xdr:grpSp>
      <xdr:sp macro="" textlink="">
        <xdr:nvSpPr>
          <xdr:cNvPr id="4144" name="Rectangle 516">
            <a:extLst>
              <a:ext uri="{FF2B5EF4-FFF2-40B4-BE49-F238E27FC236}">
                <a16:creationId xmlns:a16="http://schemas.microsoft.com/office/drawing/2014/main" id="{00000000-0008-0000-0000-000030100000}"/>
              </a:ext>
            </a:extLst>
          </xdr:cNvPr>
          <xdr:cNvSpPr>
            <a:spLocks noChangeArrowheads="1"/>
          </xdr:cNvSpPr>
        </xdr:nvSpPr>
        <xdr:spPr bwMode="auto">
          <a:xfrm>
            <a:off x="176" y="2409"/>
            <a:ext cx="198" cy="160"/>
          </a:xfrm>
          <a:prstGeom prst="rect">
            <a:avLst/>
          </a:prstGeom>
          <a:noFill/>
          <a:ln w="9525">
            <a:solidFill>
              <a:srgbClr val="000000"/>
            </a:solidFill>
            <a:miter lim="800000"/>
            <a:headEnd/>
            <a:tailEnd/>
          </a:ln>
        </xdr:spPr>
      </xdr:sp>
    </xdr:grpSp>
    <xdr:clientData/>
  </xdr:twoCellAnchor>
  <xdr:twoCellAnchor>
    <xdr:from>
      <xdr:col>2</xdr:col>
      <xdr:colOff>628650</xdr:colOff>
      <xdr:row>157</xdr:row>
      <xdr:rowOff>95250</xdr:rowOff>
    </xdr:from>
    <xdr:to>
      <xdr:col>6</xdr:col>
      <xdr:colOff>552450</xdr:colOff>
      <xdr:row>160</xdr:row>
      <xdr:rowOff>9525</xdr:rowOff>
    </xdr:to>
    <xdr:grpSp>
      <xdr:nvGrpSpPr>
        <xdr:cNvPr id="3083" name="Group 8472">
          <a:extLst>
            <a:ext uri="{FF2B5EF4-FFF2-40B4-BE49-F238E27FC236}">
              <a16:creationId xmlns:a16="http://schemas.microsoft.com/office/drawing/2014/main" id="{00000000-0008-0000-0000-00000B0C0000}"/>
            </a:ext>
          </a:extLst>
        </xdr:cNvPr>
        <xdr:cNvGrpSpPr>
          <a:grpSpLocks/>
        </xdr:cNvGrpSpPr>
      </xdr:nvGrpSpPr>
      <xdr:grpSpPr bwMode="auto">
        <a:xfrm>
          <a:off x="1847850" y="31508700"/>
          <a:ext cx="2438400" cy="504825"/>
          <a:chOff x="221" y="1284"/>
          <a:chExt cx="249" cy="50"/>
        </a:xfrm>
      </xdr:grpSpPr>
      <xdr:grpSp>
        <xdr:nvGrpSpPr>
          <xdr:cNvPr id="4136" name="Group 8461">
            <a:extLst>
              <a:ext uri="{FF2B5EF4-FFF2-40B4-BE49-F238E27FC236}">
                <a16:creationId xmlns:a16="http://schemas.microsoft.com/office/drawing/2014/main" id="{00000000-0008-0000-0000-000028100000}"/>
              </a:ext>
            </a:extLst>
          </xdr:cNvPr>
          <xdr:cNvGrpSpPr>
            <a:grpSpLocks/>
          </xdr:cNvGrpSpPr>
        </xdr:nvGrpSpPr>
        <xdr:grpSpPr bwMode="auto">
          <a:xfrm>
            <a:off x="219" y="1284"/>
            <a:ext cx="251" cy="50"/>
            <a:chOff x="245" y="1284"/>
            <a:chExt cx="251" cy="50"/>
          </a:xfrm>
        </xdr:grpSpPr>
        <xdr:sp macro="" textlink="">
          <xdr:nvSpPr>
            <xdr:cNvPr id="559" name="Text Box 8452">
              <a:extLst>
                <a:ext uri="{FF2B5EF4-FFF2-40B4-BE49-F238E27FC236}">
                  <a16:creationId xmlns:a16="http://schemas.microsoft.com/office/drawing/2014/main" id="{00000000-0008-0000-0000-00002F020000}"/>
                </a:ext>
              </a:extLst>
            </xdr:cNvPr>
            <xdr:cNvSpPr txBox="1">
              <a:spLocks noChangeArrowheads="1"/>
            </xdr:cNvSpPr>
          </xdr:nvSpPr>
          <xdr:spPr bwMode="auto">
            <a:xfrm>
              <a:off x="297" y="1284"/>
              <a:ext cx="106" cy="2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mn-lt"/>
                  <a:cs typeface="Arial"/>
                </a:rPr>
                <a:t>( Z / 2 ) X ( Sa / g)</a:t>
              </a:r>
            </a:p>
          </xdr:txBody>
        </xdr:sp>
        <xdr:grpSp>
          <xdr:nvGrpSpPr>
            <xdr:cNvPr id="4139" name="Group 8455">
              <a:extLst>
                <a:ext uri="{FF2B5EF4-FFF2-40B4-BE49-F238E27FC236}">
                  <a16:creationId xmlns:a16="http://schemas.microsoft.com/office/drawing/2014/main" id="{00000000-0008-0000-0000-00002B100000}"/>
                </a:ext>
              </a:extLst>
            </xdr:cNvPr>
            <xdr:cNvGrpSpPr>
              <a:grpSpLocks/>
            </xdr:cNvGrpSpPr>
          </xdr:nvGrpSpPr>
          <xdr:grpSpPr bwMode="auto">
            <a:xfrm>
              <a:off x="245" y="1295"/>
              <a:ext cx="157" cy="25"/>
              <a:chOff x="460" y="721"/>
              <a:chExt cx="176" cy="20"/>
            </a:xfrm>
          </xdr:grpSpPr>
          <xdr:sp macro="" textlink="">
            <xdr:nvSpPr>
              <xdr:cNvPr id="562" name="Text Box 8456">
                <a:extLst>
                  <a:ext uri="{FF2B5EF4-FFF2-40B4-BE49-F238E27FC236}">
                    <a16:creationId xmlns:a16="http://schemas.microsoft.com/office/drawing/2014/main" id="{00000000-0008-0000-0000-000032020000}"/>
                  </a:ext>
                </a:extLst>
              </xdr:cNvPr>
              <xdr:cNvSpPr txBox="1">
                <a:spLocks noChangeArrowheads="1"/>
              </xdr:cNvSpPr>
            </xdr:nvSpPr>
            <xdr:spPr bwMode="auto">
              <a:xfrm>
                <a:off x="460" y="721"/>
                <a:ext cx="84"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mn-lt"/>
                    <a:cs typeface="Arial"/>
                  </a:rPr>
                  <a:t> </a:t>
                </a:r>
              </a:p>
            </xdr:txBody>
          </xdr:sp>
          <xdr:sp macro="" textlink="">
            <xdr:nvSpPr>
              <xdr:cNvPr id="4142" name="Line 8457">
                <a:extLst>
                  <a:ext uri="{FF2B5EF4-FFF2-40B4-BE49-F238E27FC236}">
                    <a16:creationId xmlns:a16="http://schemas.microsoft.com/office/drawing/2014/main" id="{00000000-0008-0000-0000-00002E10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sp macro="" textlink="">
          <xdr:nvSpPr>
            <xdr:cNvPr id="561" name="Text Box 8458">
              <a:extLst>
                <a:ext uri="{FF2B5EF4-FFF2-40B4-BE49-F238E27FC236}">
                  <a16:creationId xmlns:a16="http://schemas.microsoft.com/office/drawing/2014/main" id="{00000000-0008-0000-0000-000031020000}"/>
                </a:ext>
              </a:extLst>
            </xdr:cNvPr>
            <xdr:cNvSpPr txBox="1">
              <a:spLocks noChangeArrowheads="1"/>
            </xdr:cNvSpPr>
          </xdr:nvSpPr>
          <xdr:spPr bwMode="auto">
            <a:xfrm>
              <a:off x="319" y="1312"/>
              <a:ext cx="177" cy="22"/>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mn-lt"/>
                  <a:cs typeface="Arial"/>
                </a:rPr>
                <a:t>( R  /  I )</a:t>
              </a:r>
            </a:p>
          </xdr:txBody>
        </xdr:sp>
      </xdr:grpSp>
      <xdr:sp macro="" textlink="">
        <xdr:nvSpPr>
          <xdr:cNvPr id="558" name="Text Box 8470">
            <a:extLst>
              <a:ext uri="{FF2B5EF4-FFF2-40B4-BE49-F238E27FC236}">
                <a16:creationId xmlns:a16="http://schemas.microsoft.com/office/drawing/2014/main" id="{00000000-0008-0000-0000-00002E020000}"/>
              </a:ext>
            </a:extLst>
          </xdr:cNvPr>
          <xdr:cNvSpPr txBox="1">
            <a:spLocks noChangeArrowheads="1"/>
          </xdr:cNvSpPr>
        </xdr:nvSpPr>
        <xdr:spPr bwMode="auto">
          <a:xfrm>
            <a:off x="398" y="1295"/>
            <a:ext cx="21" cy="23"/>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mn-lt"/>
                <a:cs typeface="Arial"/>
              </a:rPr>
              <a:t>=</a:t>
            </a:r>
          </a:p>
        </xdr:txBody>
      </xdr:sp>
    </xdr:grpSp>
    <xdr:clientData/>
  </xdr:twoCellAnchor>
  <xdr:twoCellAnchor>
    <xdr:from>
      <xdr:col>6</xdr:col>
      <xdr:colOff>0</xdr:colOff>
      <xdr:row>176</xdr:row>
      <xdr:rowOff>190499</xdr:rowOff>
    </xdr:from>
    <xdr:to>
      <xdr:col>6</xdr:col>
      <xdr:colOff>389283</xdr:colOff>
      <xdr:row>178</xdr:row>
      <xdr:rowOff>33130</xdr:rowOff>
    </xdr:to>
    <xdr:sp macro="" textlink="">
      <xdr:nvSpPr>
        <xdr:cNvPr id="578" name="Text Box 313">
          <a:extLst>
            <a:ext uri="{FF2B5EF4-FFF2-40B4-BE49-F238E27FC236}">
              <a16:creationId xmlns:a16="http://schemas.microsoft.com/office/drawing/2014/main" id="{00000000-0008-0000-0000-000042020000}"/>
            </a:ext>
          </a:extLst>
        </xdr:cNvPr>
        <xdr:cNvSpPr txBox="1">
          <a:spLocks noChangeArrowheads="1"/>
        </xdr:cNvSpPr>
      </xdr:nvSpPr>
      <xdr:spPr bwMode="auto">
        <a:xfrm>
          <a:off x="3677478" y="23539173"/>
          <a:ext cx="389283" cy="22363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l1 =</a:t>
          </a:r>
          <a:endParaRPr lang="en-US" sz="1000" b="0" i="0" strike="noStrike" baseline="-25000">
            <a:solidFill>
              <a:srgbClr val="000000"/>
            </a:solidFill>
            <a:latin typeface="Arial"/>
            <a:cs typeface="Arial"/>
          </a:endParaRPr>
        </a:p>
      </xdr:txBody>
    </xdr:sp>
    <xdr:clientData/>
  </xdr:twoCellAnchor>
  <xdr:twoCellAnchor>
    <xdr:from>
      <xdr:col>6</xdr:col>
      <xdr:colOff>77857</xdr:colOff>
      <xdr:row>179</xdr:row>
      <xdr:rowOff>11595</xdr:rowOff>
    </xdr:from>
    <xdr:to>
      <xdr:col>6</xdr:col>
      <xdr:colOff>467140</xdr:colOff>
      <xdr:row>180</xdr:row>
      <xdr:rowOff>44726</xdr:rowOff>
    </xdr:to>
    <xdr:sp macro="" textlink="">
      <xdr:nvSpPr>
        <xdr:cNvPr id="579" name="Text Box 313">
          <a:extLst>
            <a:ext uri="{FF2B5EF4-FFF2-40B4-BE49-F238E27FC236}">
              <a16:creationId xmlns:a16="http://schemas.microsoft.com/office/drawing/2014/main" id="{00000000-0008-0000-0000-000043020000}"/>
            </a:ext>
          </a:extLst>
        </xdr:cNvPr>
        <xdr:cNvSpPr txBox="1">
          <a:spLocks noChangeArrowheads="1"/>
        </xdr:cNvSpPr>
      </xdr:nvSpPr>
      <xdr:spPr bwMode="auto">
        <a:xfrm>
          <a:off x="3755335" y="23931769"/>
          <a:ext cx="389283" cy="22363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l2 =</a:t>
          </a:r>
          <a:endParaRPr lang="en-US" sz="1000" b="0" i="0" strike="noStrike" baseline="-25000">
            <a:solidFill>
              <a:srgbClr val="000000"/>
            </a:solidFill>
            <a:latin typeface="Arial"/>
            <a:cs typeface="Arial"/>
          </a:endParaRPr>
        </a:p>
      </xdr:txBody>
    </xdr:sp>
    <xdr:clientData/>
  </xdr:twoCellAnchor>
  <xdr:twoCellAnchor>
    <xdr:from>
      <xdr:col>0</xdr:col>
      <xdr:colOff>304800</xdr:colOff>
      <xdr:row>183</xdr:row>
      <xdr:rowOff>76200</xdr:rowOff>
    </xdr:from>
    <xdr:to>
      <xdr:col>7</xdr:col>
      <xdr:colOff>85725</xdr:colOff>
      <xdr:row>187</xdr:row>
      <xdr:rowOff>104775</xdr:rowOff>
    </xdr:to>
    <xdr:grpSp>
      <xdr:nvGrpSpPr>
        <xdr:cNvPr id="3087" name="Group 8502">
          <a:extLst>
            <a:ext uri="{FF2B5EF4-FFF2-40B4-BE49-F238E27FC236}">
              <a16:creationId xmlns:a16="http://schemas.microsoft.com/office/drawing/2014/main" id="{00000000-0008-0000-0000-00000F0C0000}"/>
            </a:ext>
          </a:extLst>
        </xdr:cNvPr>
        <xdr:cNvGrpSpPr>
          <a:grpSpLocks/>
        </xdr:cNvGrpSpPr>
      </xdr:nvGrpSpPr>
      <xdr:grpSpPr bwMode="auto">
        <a:xfrm>
          <a:off x="304800" y="36537900"/>
          <a:ext cx="4124325" cy="790575"/>
          <a:chOff x="210" y="1501"/>
          <a:chExt cx="421" cy="61"/>
        </a:xfrm>
      </xdr:grpSpPr>
      <xdr:sp macro="" textlink="">
        <xdr:nvSpPr>
          <xdr:cNvPr id="581" name="Text Box 8496">
            <a:extLst>
              <a:ext uri="{FF2B5EF4-FFF2-40B4-BE49-F238E27FC236}">
                <a16:creationId xmlns:a16="http://schemas.microsoft.com/office/drawing/2014/main" id="{00000000-0008-0000-0000-000045020000}"/>
              </a:ext>
            </a:extLst>
          </xdr:cNvPr>
          <xdr:cNvSpPr txBox="1">
            <a:spLocks noChangeArrowheads="1"/>
          </xdr:cNvSpPr>
        </xdr:nvSpPr>
        <xdr:spPr bwMode="auto">
          <a:xfrm>
            <a:off x="515" y="1540"/>
            <a:ext cx="109" cy="22"/>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 </a:t>
            </a:r>
            <a:r>
              <a:rPr lang="en-US" sz="1000" b="0" i="0" strike="noStrike">
                <a:solidFill>
                  <a:srgbClr val="000000"/>
                </a:solidFill>
                <a:latin typeface="Symbol"/>
              </a:rPr>
              <a:t>d  + a</a:t>
            </a:r>
            <a:r>
              <a:rPr lang="en-US" sz="1000" b="0" i="0" strike="noStrike">
                <a:solidFill>
                  <a:srgbClr val="000000"/>
                </a:solidFill>
                <a:latin typeface="Arial"/>
                <a:cs typeface="Arial"/>
              </a:rPr>
              <a:t>  + </a:t>
            </a:r>
            <a:r>
              <a:rPr lang="en-US" sz="1000" b="0" i="0" strike="noStrike">
                <a:solidFill>
                  <a:srgbClr val="000000"/>
                </a:solidFill>
                <a:latin typeface="Symbol"/>
              </a:rPr>
              <a:t>l</a:t>
            </a:r>
            <a:r>
              <a:rPr lang="en-US" sz="1000" b="0" i="0" strike="noStrike">
                <a:solidFill>
                  <a:srgbClr val="000000"/>
                </a:solidFill>
                <a:latin typeface="Arial"/>
                <a:cs typeface="Arial"/>
              </a:rPr>
              <a:t>) </a:t>
            </a:r>
          </a:p>
        </xdr:txBody>
      </xdr:sp>
      <xdr:grpSp>
        <xdr:nvGrpSpPr>
          <xdr:cNvPr id="4122" name="Group 8501">
            <a:extLst>
              <a:ext uri="{FF2B5EF4-FFF2-40B4-BE49-F238E27FC236}">
                <a16:creationId xmlns:a16="http://schemas.microsoft.com/office/drawing/2014/main" id="{00000000-0008-0000-0000-00001A100000}"/>
              </a:ext>
            </a:extLst>
          </xdr:cNvPr>
          <xdr:cNvGrpSpPr>
            <a:grpSpLocks/>
          </xdr:cNvGrpSpPr>
        </xdr:nvGrpSpPr>
        <xdr:grpSpPr bwMode="auto">
          <a:xfrm>
            <a:off x="210" y="1501"/>
            <a:ext cx="421" cy="61"/>
            <a:chOff x="217" y="1501"/>
            <a:chExt cx="421" cy="61"/>
          </a:xfrm>
        </xdr:grpSpPr>
        <xdr:sp macro="" textlink="">
          <xdr:nvSpPr>
            <xdr:cNvPr id="4123" name="Line 8488">
              <a:extLst>
                <a:ext uri="{FF2B5EF4-FFF2-40B4-BE49-F238E27FC236}">
                  <a16:creationId xmlns:a16="http://schemas.microsoft.com/office/drawing/2014/main" id="{00000000-0008-0000-0000-00001B100000}"/>
                </a:ext>
              </a:extLst>
            </xdr:cNvPr>
            <xdr:cNvSpPr>
              <a:spLocks noChangeShapeType="1"/>
            </xdr:cNvSpPr>
          </xdr:nvSpPr>
          <xdr:spPr bwMode="auto">
            <a:xfrm>
              <a:off x="253" y="1520"/>
              <a:ext cx="308" cy="0"/>
            </a:xfrm>
            <a:prstGeom prst="line">
              <a:avLst/>
            </a:prstGeom>
            <a:noFill/>
            <a:ln w="9525">
              <a:solidFill>
                <a:srgbClr val="000000"/>
              </a:solidFill>
              <a:round/>
              <a:headEnd/>
              <a:tailEnd/>
            </a:ln>
          </xdr:spPr>
        </xdr:sp>
        <xdr:sp macro="" textlink="">
          <xdr:nvSpPr>
            <xdr:cNvPr id="584" name="Text Box 8490">
              <a:extLst>
                <a:ext uri="{FF2B5EF4-FFF2-40B4-BE49-F238E27FC236}">
                  <a16:creationId xmlns:a16="http://schemas.microsoft.com/office/drawing/2014/main" id="{00000000-0008-0000-0000-000048020000}"/>
                </a:ext>
              </a:extLst>
            </xdr:cNvPr>
            <xdr:cNvSpPr txBox="1">
              <a:spLocks noChangeArrowheads="1"/>
            </xdr:cNvSpPr>
          </xdr:nvSpPr>
          <xdr:spPr bwMode="auto">
            <a:xfrm>
              <a:off x="217" y="1523"/>
              <a:ext cx="421" cy="3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a:solidFill>
                    <a:srgbClr val="000000"/>
                  </a:solidFill>
                  <a:latin typeface="Symbol"/>
                </a:rPr>
                <a:t>l</a:t>
              </a:r>
              <a:r>
                <a:rPr lang="en-US" sz="1000" b="0" i="0" strike="noStrike">
                  <a:solidFill>
                    <a:srgbClr val="000000"/>
                  </a:solidFill>
                  <a:latin typeface="Arial"/>
                  <a:cs typeface="Arial"/>
                </a:rPr>
                <a:t>  x cos </a:t>
              </a:r>
              <a:r>
                <a:rPr lang="en-US" sz="1000" b="0" i="0" strike="noStrike" baseline="30000">
                  <a:solidFill>
                    <a:srgbClr val="000000"/>
                  </a:solidFill>
                  <a:latin typeface="Arial"/>
                  <a:cs typeface="Arial"/>
                </a:rPr>
                <a:t>2 </a:t>
              </a:r>
              <a:r>
                <a:rPr lang="en-US" sz="1000" b="0" i="0" strike="noStrike">
                  <a:solidFill>
                    <a:srgbClr val="000000"/>
                  </a:solidFill>
                  <a:latin typeface="Symbol"/>
                </a:rPr>
                <a:t>a </a:t>
              </a:r>
              <a:r>
                <a:rPr lang="en-US" sz="1000" b="0" i="0" strike="noStrike">
                  <a:solidFill>
                    <a:srgbClr val="000000"/>
                  </a:solidFill>
                  <a:latin typeface="Arial"/>
                  <a:cs typeface="Arial"/>
                </a:rPr>
                <a:t>x cos (</a:t>
              </a:r>
              <a:r>
                <a:rPr lang="en-US" sz="1000" b="0" i="0" strike="noStrike">
                  <a:solidFill>
                    <a:srgbClr val="000000"/>
                  </a:solidFill>
                  <a:latin typeface="Symbol"/>
                </a:rPr>
                <a:t>d</a:t>
              </a:r>
              <a:r>
                <a:rPr lang="en-US" sz="1000" b="0" i="0" strike="noStrike">
                  <a:solidFill>
                    <a:srgbClr val="000000"/>
                  </a:solidFill>
                  <a:latin typeface="Arial"/>
                  <a:cs typeface="Arial"/>
                </a:rPr>
                <a:t> + </a:t>
              </a:r>
              <a:r>
                <a:rPr lang="en-US" sz="1000" b="0" i="0" strike="noStrike">
                  <a:solidFill>
                    <a:srgbClr val="000000"/>
                  </a:solidFill>
                  <a:latin typeface="Symbol"/>
                </a:rPr>
                <a:t>a</a:t>
              </a:r>
              <a:r>
                <a:rPr lang="en-US" sz="1000" b="0" i="0" strike="noStrike">
                  <a:solidFill>
                    <a:srgbClr val="000000"/>
                  </a:solidFill>
                  <a:latin typeface="Arial"/>
                  <a:cs typeface="Arial"/>
                </a:rPr>
                <a:t> +</a:t>
              </a:r>
              <a:r>
                <a:rPr lang="en-US" sz="1000" b="0" i="0" strike="noStrike">
                  <a:solidFill>
                    <a:srgbClr val="000000"/>
                  </a:solidFill>
                  <a:latin typeface="Symbol"/>
                </a:rPr>
                <a:t> l</a:t>
              </a:r>
              <a:r>
                <a:rPr lang="en-US" sz="1000" b="0" i="0" strike="noStrike">
                  <a:solidFill>
                    <a:srgbClr val="000000"/>
                  </a:solidFill>
                  <a:latin typeface="Arial"/>
                  <a:cs typeface="Arial"/>
                </a:rPr>
                <a:t> ) x [ 1 + √ sin ( </a:t>
              </a:r>
              <a:r>
                <a:rPr lang="en-US" sz="1000" b="0" i="0" strike="noStrike">
                  <a:solidFill>
                    <a:srgbClr val="000000"/>
                  </a:solidFill>
                  <a:latin typeface="Symbol"/>
                </a:rPr>
                <a:t>f</a:t>
              </a:r>
              <a:r>
                <a:rPr lang="en-US" sz="1000" b="0" i="0" strike="noStrike">
                  <a:solidFill>
                    <a:srgbClr val="000000"/>
                  </a:solidFill>
                  <a:latin typeface="Arial"/>
                  <a:cs typeface="Arial"/>
                </a:rPr>
                <a:t> + </a:t>
              </a:r>
              <a:r>
                <a:rPr lang="en-US" sz="1000" b="0" i="0" strike="noStrike">
                  <a:solidFill>
                    <a:srgbClr val="000000"/>
                  </a:solidFill>
                  <a:latin typeface="Symbol"/>
                </a:rPr>
                <a:t>d</a:t>
              </a:r>
              <a:r>
                <a:rPr lang="en-US" sz="1000" b="0" i="0" strike="noStrike">
                  <a:solidFill>
                    <a:srgbClr val="000000"/>
                  </a:solidFill>
                  <a:latin typeface="Arial"/>
                  <a:cs typeface="Arial"/>
                </a:rPr>
                <a:t> ) x sin ( </a:t>
              </a:r>
              <a:r>
                <a:rPr lang="en-US" sz="1000" b="0" i="0" strike="noStrike">
                  <a:solidFill>
                    <a:srgbClr val="000000"/>
                  </a:solidFill>
                  <a:latin typeface="Symbol"/>
                </a:rPr>
                <a:t>f</a:t>
              </a:r>
              <a:r>
                <a:rPr lang="en-US" sz="1000" b="0" i="0" strike="noStrike">
                  <a:solidFill>
                    <a:srgbClr val="000000"/>
                  </a:solidFill>
                  <a:latin typeface="Arial"/>
                  <a:cs typeface="Arial"/>
                </a:rPr>
                <a:t> -</a:t>
              </a:r>
              <a:r>
                <a:rPr lang="en-US" sz="1000" b="0" i="0" strike="noStrike">
                  <a:solidFill>
                    <a:srgbClr val="000000"/>
                  </a:solidFill>
                  <a:latin typeface="Symbol" pitchFamily="18" charset="2"/>
                  <a:cs typeface="Arial"/>
                </a:rPr>
                <a:t>b</a:t>
              </a:r>
              <a:r>
                <a:rPr lang="en-US" sz="1000" b="0" i="0" strike="noStrike">
                  <a:solidFill>
                    <a:srgbClr val="000000"/>
                  </a:solidFill>
                  <a:latin typeface="Arial"/>
                  <a:cs typeface="Arial"/>
                </a:rPr>
                <a:t> - </a:t>
              </a:r>
              <a:r>
                <a:rPr lang="en-US" sz="1000" b="0" i="0" strike="noStrike">
                  <a:solidFill>
                    <a:srgbClr val="000000"/>
                  </a:solidFill>
                  <a:latin typeface="Symbol"/>
                </a:rPr>
                <a:t>l </a:t>
              </a:r>
              <a:r>
                <a:rPr lang="en-US" sz="1000" b="0" i="0" strike="noStrike">
                  <a:solidFill>
                    <a:srgbClr val="000000"/>
                  </a:solidFill>
                  <a:latin typeface="Arial"/>
                  <a:cs typeface="Arial"/>
                </a:rPr>
                <a:t>) ]</a:t>
              </a:r>
              <a:r>
                <a:rPr lang="en-US" sz="1000" b="0" i="0" strike="noStrike" baseline="30000">
                  <a:solidFill>
                    <a:srgbClr val="000000"/>
                  </a:solidFill>
                  <a:latin typeface="Arial"/>
                  <a:cs typeface="Arial"/>
                </a:rPr>
                <a:t>2</a:t>
              </a:r>
            </a:p>
          </xdr:txBody>
        </xdr:sp>
        <xdr:grpSp>
          <xdr:nvGrpSpPr>
            <xdr:cNvPr id="4125" name="Group 8494">
              <a:extLst>
                <a:ext uri="{FF2B5EF4-FFF2-40B4-BE49-F238E27FC236}">
                  <a16:creationId xmlns:a16="http://schemas.microsoft.com/office/drawing/2014/main" id="{00000000-0008-0000-0000-00001D100000}"/>
                </a:ext>
              </a:extLst>
            </xdr:cNvPr>
            <xdr:cNvGrpSpPr>
              <a:grpSpLocks/>
            </xdr:cNvGrpSpPr>
          </xdr:nvGrpSpPr>
          <xdr:grpSpPr bwMode="auto">
            <a:xfrm>
              <a:off x="288" y="1501"/>
              <a:ext cx="188" cy="32"/>
              <a:chOff x="254" y="1501"/>
              <a:chExt cx="188" cy="32"/>
            </a:xfrm>
          </xdr:grpSpPr>
          <xdr:sp macro="" textlink="">
            <xdr:nvSpPr>
              <xdr:cNvPr id="589" name="Text Box 8489">
                <a:extLst>
                  <a:ext uri="{FF2B5EF4-FFF2-40B4-BE49-F238E27FC236}">
                    <a16:creationId xmlns:a16="http://schemas.microsoft.com/office/drawing/2014/main" id="{00000000-0008-0000-0000-00004D020000}"/>
                  </a:ext>
                </a:extLst>
              </xdr:cNvPr>
              <xdr:cNvSpPr txBox="1">
                <a:spLocks noChangeArrowheads="1"/>
              </xdr:cNvSpPr>
            </xdr:nvSpPr>
            <xdr:spPr bwMode="auto">
              <a:xfrm>
                <a:off x="318" y="1502"/>
                <a:ext cx="124" cy="23"/>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baseline="30000">
                    <a:solidFill>
                      <a:srgbClr val="000000"/>
                    </a:solidFill>
                    <a:latin typeface="Arial"/>
                    <a:cs typeface="Arial"/>
                  </a:rPr>
                  <a:t>2 </a:t>
                </a:r>
                <a:r>
                  <a:rPr lang="en-US" sz="1000" b="0" i="0" strike="noStrike">
                    <a:solidFill>
                      <a:srgbClr val="000000"/>
                    </a:solidFill>
                    <a:latin typeface="Arial"/>
                    <a:cs typeface="Arial"/>
                  </a:rPr>
                  <a:t> ( </a:t>
                </a:r>
                <a:r>
                  <a:rPr lang="en-US" sz="1000" b="0" i="0" strike="noStrike">
                    <a:solidFill>
                      <a:srgbClr val="000000"/>
                    </a:solidFill>
                    <a:latin typeface="Symbol"/>
                  </a:rPr>
                  <a:t>f  - l</a:t>
                </a:r>
                <a:r>
                  <a:rPr lang="en-US" sz="1000" b="0" i="0" strike="noStrike">
                    <a:solidFill>
                      <a:srgbClr val="000000"/>
                    </a:solidFill>
                    <a:latin typeface="Arial"/>
                    <a:cs typeface="Arial"/>
                  </a:rPr>
                  <a:t>  +  </a:t>
                </a:r>
                <a:r>
                  <a:rPr lang="en-US" sz="1000" b="0" i="0" strike="noStrike">
                    <a:solidFill>
                      <a:srgbClr val="000000"/>
                    </a:solidFill>
                    <a:latin typeface="Symbol"/>
                  </a:rPr>
                  <a:t>a</a:t>
                </a:r>
                <a:r>
                  <a:rPr lang="en-US" sz="1000" b="0" i="0" strike="noStrike">
                    <a:solidFill>
                      <a:srgbClr val="000000"/>
                    </a:solidFill>
                    <a:latin typeface="Arial"/>
                    <a:cs typeface="Arial"/>
                  </a:rPr>
                  <a:t> ) </a:t>
                </a:r>
              </a:p>
            </xdr:txBody>
          </xdr:sp>
          <xdr:sp macro="" textlink="">
            <xdr:nvSpPr>
              <xdr:cNvPr id="590" name="Text Box 8492">
                <a:extLst>
                  <a:ext uri="{FF2B5EF4-FFF2-40B4-BE49-F238E27FC236}">
                    <a16:creationId xmlns:a16="http://schemas.microsoft.com/office/drawing/2014/main" id="{00000000-0008-0000-0000-00004E020000}"/>
                  </a:ext>
                </a:extLst>
              </xdr:cNvPr>
              <xdr:cNvSpPr txBox="1">
                <a:spLocks noChangeArrowheads="1"/>
              </xdr:cNvSpPr>
            </xdr:nvSpPr>
            <xdr:spPr bwMode="auto">
              <a:xfrm>
                <a:off x="254" y="1501"/>
                <a:ext cx="77" cy="32"/>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( 1 ± </a:t>
                </a:r>
                <a:r>
                  <a:rPr lang="en-US" sz="1000" b="0" i="0" strike="noStrike">
                    <a:solidFill>
                      <a:srgbClr val="000000"/>
                    </a:solidFill>
                    <a:latin typeface="Symbol"/>
                  </a:rPr>
                  <a:t>a</a:t>
                </a:r>
                <a:r>
                  <a:rPr lang="en-US" sz="1000" b="0" i="0" strike="noStrike" baseline="-25000">
                    <a:solidFill>
                      <a:srgbClr val="000000"/>
                    </a:solidFill>
                    <a:latin typeface="ariel"/>
                  </a:rPr>
                  <a:t>v</a:t>
                </a:r>
                <a:r>
                  <a:rPr lang="en-US" sz="1000" b="0" i="0" strike="noStrike">
                    <a:solidFill>
                      <a:srgbClr val="000000"/>
                    </a:solidFill>
                    <a:latin typeface="Arial"/>
                    <a:cs typeface="Arial"/>
                  </a:rPr>
                  <a:t> ) x</a:t>
                </a:r>
              </a:p>
            </xdr:txBody>
          </xdr:sp>
        </xdr:grpSp>
        <xdr:sp macro="" textlink="">
          <xdr:nvSpPr>
            <xdr:cNvPr id="586" name="Text Box 8497">
              <a:extLst>
                <a:ext uri="{FF2B5EF4-FFF2-40B4-BE49-F238E27FC236}">
                  <a16:creationId xmlns:a16="http://schemas.microsoft.com/office/drawing/2014/main" id="{00000000-0008-0000-0000-00004A020000}"/>
                </a:ext>
              </a:extLst>
            </xdr:cNvPr>
            <xdr:cNvSpPr txBox="1">
              <a:spLocks noChangeArrowheads="1"/>
            </xdr:cNvSpPr>
          </xdr:nvSpPr>
          <xdr:spPr bwMode="auto">
            <a:xfrm>
              <a:off x="453" y="1540"/>
              <a:ext cx="74"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cos (</a:t>
              </a:r>
              <a:r>
                <a:rPr lang="en-US" sz="1000" b="0" i="0" strike="noStrike">
                  <a:solidFill>
                    <a:srgbClr val="000000"/>
                  </a:solidFill>
                  <a:latin typeface="Symbol"/>
                </a:rPr>
                <a:t>a</a:t>
              </a:r>
              <a:r>
                <a:rPr lang="en-US" sz="1000" b="0" i="0" strike="noStrike">
                  <a:solidFill>
                    <a:srgbClr val="000000"/>
                  </a:solidFill>
                  <a:latin typeface="Arial"/>
                  <a:cs typeface="Arial"/>
                </a:rPr>
                <a:t> -</a:t>
              </a:r>
              <a:r>
                <a:rPr lang="en-US" sz="1000" b="0" i="0" strike="noStrike">
                  <a:solidFill>
                    <a:srgbClr val="000000"/>
                  </a:solidFill>
                  <a:latin typeface="Symbol" pitchFamily="18" charset="2"/>
                  <a:cs typeface="Arial"/>
                </a:rPr>
                <a:t>b</a:t>
              </a:r>
              <a:r>
                <a:rPr lang="en-US" sz="1000" b="0" i="0" strike="noStrike">
                  <a:solidFill>
                    <a:srgbClr val="000000"/>
                  </a:solidFill>
                  <a:latin typeface="Arial"/>
                  <a:cs typeface="Arial"/>
                </a:rPr>
                <a:t>) x  </a:t>
              </a:r>
            </a:p>
          </xdr:txBody>
        </xdr:sp>
        <xdr:sp macro="" textlink="">
          <xdr:nvSpPr>
            <xdr:cNvPr id="4127" name="Line 8498">
              <a:extLst>
                <a:ext uri="{FF2B5EF4-FFF2-40B4-BE49-F238E27FC236}">
                  <a16:creationId xmlns:a16="http://schemas.microsoft.com/office/drawing/2014/main" id="{00000000-0008-0000-0000-00001F100000}"/>
                </a:ext>
              </a:extLst>
            </xdr:cNvPr>
            <xdr:cNvSpPr>
              <a:spLocks noChangeShapeType="1"/>
            </xdr:cNvSpPr>
          </xdr:nvSpPr>
          <xdr:spPr bwMode="auto">
            <a:xfrm>
              <a:off x="461" y="1542"/>
              <a:ext cx="148" cy="0"/>
            </a:xfrm>
            <a:prstGeom prst="line">
              <a:avLst/>
            </a:prstGeom>
            <a:noFill/>
            <a:ln w="9525">
              <a:solidFill>
                <a:srgbClr val="000000"/>
              </a:solidFill>
              <a:round/>
              <a:headEnd/>
              <a:tailEnd/>
            </a:ln>
          </xdr:spPr>
        </xdr:sp>
        <xdr:sp macro="" textlink="">
          <xdr:nvSpPr>
            <xdr:cNvPr id="4128" name="Line 8500">
              <a:extLst>
                <a:ext uri="{FF2B5EF4-FFF2-40B4-BE49-F238E27FC236}">
                  <a16:creationId xmlns:a16="http://schemas.microsoft.com/office/drawing/2014/main" id="{00000000-0008-0000-0000-000020100000}"/>
                </a:ext>
              </a:extLst>
            </xdr:cNvPr>
            <xdr:cNvSpPr>
              <a:spLocks noChangeShapeType="1"/>
            </xdr:cNvSpPr>
          </xdr:nvSpPr>
          <xdr:spPr bwMode="auto">
            <a:xfrm>
              <a:off x="459" y="1526"/>
              <a:ext cx="148" cy="0"/>
            </a:xfrm>
            <a:prstGeom prst="line">
              <a:avLst/>
            </a:prstGeom>
            <a:noFill/>
            <a:ln w="9525">
              <a:solidFill>
                <a:srgbClr val="000000"/>
              </a:solidFill>
              <a:round/>
              <a:headEnd/>
              <a:tailEnd/>
            </a:ln>
          </xdr:spPr>
        </xdr:sp>
      </xdr:grpSp>
    </xdr:grpSp>
    <xdr:clientData/>
  </xdr:twoCellAnchor>
  <xdr:twoCellAnchor>
    <xdr:from>
      <xdr:col>2</xdr:col>
      <xdr:colOff>45962</xdr:colOff>
      <xdr:row>144</xdr:row>
      <xdr:rowOff>118018</xdr:rowOff>
    </xdr:from>
    <xdr:to>
      <xdr:col>3</xdr:col>
      <xdr:colOff>435399</xdr:colOff>
      <xdr:row>145</xdr:row>
      <xdr:rowOff>174129</xdr:rowOff>
    </xdr:to>
    <xdr:sp macro="" textlink="">
      <xdr:nvSpPr>
        <xdr:cNvPr id="510" name="Text Box 8517">
          <a:extLst>
            <a:ext uri="{FF2B5EF4-FFF2-40B4-BE49-F238E27FC236}">
              <a16:creationId xmlns:a16="http://schemas.microsoft.com/office/drawing/2014/main" id="{00000000-0008-0000-0000-0000FE010000}"/>
            </a:ext>
          </a:extLst>
        </xdr:cNvPr>
        <xdr:cNvSpPr txBox="1">
          <a:spLocks noChangeArrowheads="1"/>
        </xdr:cNvSpPr>
      </xdr:nvSpPr>
      <xdr:spPr bwMode="auto">
        <a:xfrm>
          <a:off x="1263303" y="19641945"/>
          <a:ext cx="1016694" cy="246611"/>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Live Load Surcharge </a:t>
          </a:r>
        </a:p>
      </xdr:txBody>
    </xdr:sp>
    <xdr:clientData/>
  </xdr:twoCellAnchor>
  <xdr:twoCellAnchor>
    <xdr:from>
      <xdr:col>0</xdr:col>
      <xdr:colOff>123825</xdr:colOff>
      <xdr:row>145</xdr:row>
      <xdr:rowOff>95250</xdr:rowOff>
    </xdr:from>
    <xdr:to>
      <xdr:col>8</xdr:col>
      <xdr:colOff>466725</xdr:colOff>
      <xdr:row>154</xdr:row>
      <xdr:rowOff>142875</xdr:rowOff>
    </xdr:to>
    <xdr:grpSp>
      <xdr:nvGrpSpPr>
        <xdr:cNvPr id="3089" name="Group 1263">
          <a:extLst>
            <a:ext uri="{FF2B5EF4-FFF2-40B4-BE49-F238E27FC236}">
              <a16:creationId xmlns:a16="http://schemas.microsoft.com/office/drawing/2014/main" id="{00000000-0008-0000-0000-0000110C0000}"/>
            </a:ext>
          </a:extLst>
        </xdr:cNvPr>
        <xdr:cNvGrpSpPr>
          <a:grpSpLocks/>
        </xdr:cNvGrpSpPr>
      </xdr:nvGrpSpPr>
      <xdr:grpSpPr bwMode="auto">
        <a:xfrm>
          <a:off x="123825" y="29222700"/>
          <a:ext cx="5295900" cy="1762125"/>
          <a:chOff x="125896" y="19813707"/>
          <a:chExt cx="5224851" cy="1764657"/>
        </a:xfrm>
      </xdr:grpSpPr>
      <xdr:sp macro="" textlink="">
        <xdr:nvSpPr>
          <xdr:cNvPr id="4037" name="Rectangle 613">
            <a:extLst>
              <a:ext uri="{FF2B5EF4-FFF2-40B4-BE49-F238E27FC236}">
                <a16:creationId xmlns:a16="http://schemas.microsoft.com/office/drawing/2014/main" id="{00000000-0008-0000-0000-0000C50F0000}"/>
              </a:ext>
            </a:extLst>
          </xdr:cNvPr>
          <xdr:cNvSpPr>
            <a:spLocks noChangeArrowheads="1"/>
          </xdr:cNvSpPr>
        </xdr:nvSpPr>
        <xdr:spPr bwMode="auto">
          <a:xfrm>
            <a:off x="2131165" y="20050855"/>
            <a:ext cx="365056" cy="1303663"/>
          </a:xfrm>
          <a:prstGeom prst="rect">
            <a:avLst/>
          </a:prstGeom>
          <a:solidFill>
            <a:srgbClr val="FFFFFF"/>
          </a:solidFill>
          <a:ln w="28575" algn="ctr">
            <a:solidFill>
              <a:srgbClr val="000000"/>
            </a:solidFill>
            <a:miter lim="800000"/>
            <a:headEnd/>
            <a:tailEnd/>
          </a:ln>
        </xdr:spPr>
      </xdr:sp>
      <xdr:cxnSp macro="">
        <xdr:nvCxnSpPr>
          <xdr:cNvPr id="4038" name="Straight Arrow Connector 618">
            <a:extLst>
              <a:ext uri="{FF2B5EF4-FFF2-40B4-BE49-F238E27FC236}">
                <a16:creationId xmlns:a16="http://schemas.microsoft.com/office/drawing/2014/main" id="{00000000-0008-0000-0000-0000C60F0000}"/>
              </a:ext>
            </a:extLst>
          </xdr:cNvPr>
          <xdr:cNvCxnSpPr>
            <a:cxnSpLocks noChangeShapeType="1"/>
            <a:endCxn id="4037" idx="1"/>
          </xdr:cNvCxnSpPr>
        </xdr:nvCxnSpPr>
        <xdr:spPr bwMode="auto">
          <a:xfrm rot="10800000" flipV="1">
            <a:off x="2131165" y="20691544"/>
            <a:ext cx="1034323" cy="11142"/>
          </a:xfrm>
          <a:prstGeom prst="straightConnector1">
            <a:avLst/>
          </a:prstGeom>
          <a:noFill/>
          <a:ln w="28575" algn="ctr">
            <a:solidFill>
              <a:srgbClr val="4A7EBB"/>
            </a:solidFill>
            <a:round/>
            <a:headEnd/>
            <a:tailEnd type="arrow" w="med" len="med"/>
          </a:ln>
        </xdr:spPr>
      </xdr:cxnSp>
      <xdr:sp macro="" textlink="">
        <xdr:nvSpPr>
          <xdr:cNvPr id="278" name="Text Box 8517">
            <a:extLst>
              <a:ext uri="{FF2B5EF4-FFF2-40B4-BE49-F238E27FC236}">
                <a16:creationId xmlns:a16="http://schemas.microsoft.com/office/drawing/2014/main" id="{00000000-0008-0000-0000-000016010000}"/>
              </a:ext>
            </a:extLst>
          </xdr:cNvPr>
          <xdr:cNvSpPr txBox="1">
            <a:spLocks noChangeArrowheads="1"/>
          </xdr:cNvSpPr>
        </xdr:nvSpPr>
        <xdr:spPr bwMode="auto">
          <a:xfrm>
            <a:off x="2158838" y="21339897"/>
            <a:ext cx="398989" cy="22892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ka </a:t>
            </a:r>
            <a:r>
              <a:rPr lang="en-US" sz="900" b="0" i="0" strike="noStrike">
                <a:solidFill>
                  <a:srgbClr val="000000"/>
                </a:solidFill>
                <a:latin typeface="Symbol"/>
              </a:rPr>
              <a:t>g</a:t>
            </a:r>
            <a:r>
              <a:rPr lang="en-US" sz="900" b="0" i="0" strike="noStrike" baseline="-25000">
                <a:solidFill>
                  <a:srgbClr val="000000"/>
                </a:solidFill>
                <a:latin typeface="Calibri"/>
                <a:cs typeface="Calibri"/>
              </a:rPr>
              <a:t>s</a:t>
            </a:r>
            <a:r>
              <a:rPr lang="en-US" sz="900" b="0" i="0" strike="noStrike">
                <a:solidFill>
                  <a:srgbClr val="000000"/>
                </a:solidFill>
                <a:latin typeface="Calibri"/>
                <a:cs typeface="Calibri"/>
              </a:rPr>
              <a:t>S</a:t>
            </a:r>
            <a:r>
              <a:rPr lang="en-US" sz="900" b="0" i="0" strike="noStrike" baseline="-25000">
                <a:solidFill>
                  <a:srgbClr val="000000"/>
                </a:solidFill>
                <a:latin typeface="Calibri"/>
                <a:cs typeface="Calibri"/>
              </a:rPr>
              <a:t>h</a:t>
            </a:r>
          </a:p>
        </xdr:txBody>
      </xdr:sp>
      <xdr:sp macro="" textlink="">
        <xdr:nvSpPr>
          <xdr:cNvPr id="4040" name="Line 8972">
            <a:extLst>
              <a:ext uri="{FF2B5EF4-FFF2-40B4-BE49-F238E27FC236}">
                <a16:creationId xmlns:a16="http://schemas.microsoft.com/office/drawing/2014/main" id="{00000000-0008-0000-0000-0000C80F0000}"/>
              </a:ext>
            </a:extLst>
          </xdr:cNvPr>
          <xdr:cNvSpPr>
            <a:spLocks noChangeShapeType="1"/>
          </xdr:cNvSpPr>
        </xdr:nvSpPr>
        <xdr:spPr bwMode="auto">
          <a:xfrm flipH="1">
            <a:off x="2149418" y="20123357"/>
            <a:ext cx="310297" cy="0"/>
          </a:xfrm>
          <a:prstGeom prst="line">
            <a:avLst/>
          </a:prstGeom>
          <a:noFill/>
          <a:ln w="9525">
            <a:solidFill>
              <a:srgbClr val="000000"/>
            </a:solidFill>
            <a:round/>
            <a:headEnd/>
            <a:tailEnd type="arrow" w="med" len="med"/>
          </a:ln>
        </xdr:spPr>
      </xdr:sp>
      <xdr:sp macro="" textlink="">
        <xdr:nvSpPr>
          <xdr:cNvPr id="4041" name="Line 8973">
            <a:extLst>
              <a:ext uri="{FF2B5EF4-FFF2-40B4-BE49-F238E27FC236}">
                <a16:creationId xmlns:a16="http://schemas.microsoft.com/office/drawing/2014/main" id="{00000000-0008-0000-0000-0000C90F0000}"/>
              </a:ext>
            </a:extLst>
          </xdr:cNvPr>
          <xdr:cNvSpPr>
            <a:spLocks noChangeShapeType="1"/>
          </xdr:cNvSpPr>
        </xdr:nvSpPr>
        <xdr:spPr bwMode="auto">
          <a:xfrm flipH="1">
            <a:off x="2149418" y="20218949"/>
            <a:ext cx="310297" cy="0"/>
          </a:xfrm>
          <a:prstGeom prst="line">
            <a:avLst/>
          </a:prstGeom>
          <a:noFill/>
          <a:ln w="9525">
            <a:solidFill>
              <a:srgbClr val="000000"/>
            </a:solidFill>
            <a:round/>
            <a:headEnd/>
            <a:tailEnd type="arrow" w="med" len="med"/>
          </a:ln>
        </xdr:spPr>
      </xdr:sp>
      <xdr:sp macro="" textlink="">
        <xdr:nvSpPr>
          <xdr:cNvPr id="4042" name="Line 8974">
            <a:extLst>
              <a:ext uri="{FF2B5EF4-FFF2-40B4-BE49-F238E27FC236}">
                <a16:creationId xmlns:a16="http://schemas.microsoft.com/office/drawing/2014/main" id="{00000000-0008-0000-0000-0000CA0F0000}"/>
              </a:ext>
            </a:extLst>
          </xdr:cNvPr>
          <xdr:cNvSpPr>
            <a:spLocks noChangeShapeType="1"/>
          </xdr:cNvSpPr>
        </xdr:nvSpPr>
        <xdr:spPr bwMode="auto">
          <a:xfrm flipH="1">
            <a:off x="2149418" y="20308568"/>
            <a:ext cx="310297" cy="0"/>
          </a:xfrm>
          <a:prstGeom prst="line">
            <a:avLst/>
          </a:prstGeom>
          <a:noFill/>
          <a:ln w="9525">
            <a:solidFill>
              <a:srgbClr val="000000"/>
            </a:solidFill>
            <a:round/>
            <a:headEnd/>
            <a:tailEnd type="arrow" w="med" len="med"/>
          </a:ln>
        </xdr:spPr>
      </xdr:sp>
      <xdr:sp macro="" textlink="">
        <xdr:nvSpPr>
          <xdr:cNvPr id="4043" name="Line 8975">
            <a:extLst>
              <a:ext uri="{FF2B5EF4-FFF2-40B4-BE49-F238E27FC236}">
                <a16:creationId xmlns:a16="http://schemas.microsoft.com/office/drawing/2014/main" id="{00000000-0008-0000-0000-0000CB0F0000}"/>
              </a:ext>
            </a:extLst>
          </xdr:cNvPr>
          <xdr:cNvSpPr>
            <a:spLocks noChangeShapeType="1"/>
          </xdr:cNvSpPr>
        </xdr:nvSpPr>
        <xdr:spPr bwMode="auto">
          <a:xfrm flipH="1">
            <a:off x="2155502" y="20404161"/>
            <a:ext cx="310297" cy="0"/>
          </a:xfrm>
          <a:prstGeom prst="line">
            <a:avLst/>
          </a:prstGeom>
          <a:noFill/>
          <a:ln w="9525">
            <a:solidFill>
              <a:srgbClr val="000000"/>
            </a:solidFill>
            <a:round/>
            <a:headEnd/>
            <a:tailEnd type="arrow" w="med" len="med"/>
          </a:ln>
        </xdr:spPr>
      </xdr:sp>
      <xdr:sp macro="" textlink="">
        <xdr:nvSpPr>
          <xdr:cNvPr id="4044" name="Line 8976">
            <a:extLst>
              <a:ext uri="{FF2B5EF4-FFF2-40B4-BE49-F238E27FC236}">
                <a16:creationId xmlns:a16="http://schemas.microsoft.com/office/drawing/2014/main" id="{00000000-0008-0000-0000-0000CC0F0000}"/>
              </a:ext>
            </a:extLst>
          </xdr:cNvPr>
          <xdr:cNvSpPr>
            <a:spLocks noChangeShapeType="1"/>
          </xdr:cNvSpPr>
        </xdr:nvSpPr>
        <xdr:spPr bwMode="auto">
          <a:xfrm flipH="1">
            <a:off x="2155502" y="20493779"/>
            <a:ext cx="310297" cy="0"/>
          </a:xfrm>
          <a:prstGeom prst="line">
            <a:avLst/>
          </a:prstGeom>
          <a:noFill/>
          <a:ln w="9525">
            <a:solidFill>
              <a:srgbClr val="000000"/>
            </a:solidFill>
            <a:round/>
            <a:headEnd/>
            <a:tailEnd type="arrow" w="med" len="med"/>
          </a:ln>
        </xdr:spPr>
      </xdr:sp>
      <xdr:sp macro="" textlink="">
        <xdr:nvSpPr>
          <xdr:cNvPr id="4045" name="Line 8977">
            <a:extLst>
              <a:ext uri="{FF2B5EF4-FFF2-40B4-BE49-F238E27FC236}">
                <a16:creationId xmlns:a16="http://schemas.microsoft.com/office/drawing/2014/main" id="{00000000-0008-0000-0000-0000CD0F0000}"/>
              </a:ext>
            </a:extLst>
          </xdr:cNvPr>
          <xdr:cNvSpPr>
            <a:spLocks noChangeShapeType="1"/>
          </xdr:cNvSpPr>
        </xdr:nvSpPr>
        <xdr:spPr bwMode="auto">
          <a:xfrm flipH="1">
            <a:off x="2155502" y="20589372"/>
            <a:ext cx="310297" cy="0"/>
          </a:xfrm>
          <a:prstGeom prst="line">
            <a:avLst/>
          </a:prstGeom>
          <a:noFill/>
          <a:ln w="9525">
            <a:solidFill>
              <a:srgbClr val="000000"/>
            </a:solidFill>
            <a:round/>
            <a:headEnd/>
            <a:tailEnd type="arrow" w="med" len="med"/>
          </a:ln>
        </xdr:spPr>
      </xdr:sp>
      <xdr:sp macro="" textlink="">
        <xdr:nvSpPr>
          <xdr:cNvPr id="4046" name="Line 8978">
            <a:extLst>
              <a:ext uri="{FF2B5EF4-FFF2-40B4-BE49-F238E27FC236}">
                <a16:creationId xmlns:a16="http://schemas.microsoft.com/office/drawing/2014/main" id="{00000000-0008-0000-0000-0000CE0F0000}"/>
              </a:ext>
            </a:extLst>
          </xdr:cNvPr>
          <xdr:cNvSpPr>
            <a:spLocks noChangeShapeType="1"/>
          </xdr:cNvSpPr>
        </xdr:nvSpPr>
        <xdr:spPr bwMode="auto">
          <a:xfrm flipH="1">
            <a:off x="2155502" y="20684964"/>
            <a:ext cx="310297" cy="0"/>
          </a:xfrm>
          <a:prstGeom prst="line">
            <a:avLst/>
          </a:prstGeom>
          <a:noFill/>
          <a:ln w="9525">
            <a:solidFill>
              <a:srgbClr val="000000"/>
            </a:solidFill>
            <a:round/>
            <a:headEnd/>
            <a:tailEnd type="arrow" w="med" len="med"/>
          </a:ln>
        </xdr:spPr>
      </xdr:sp>
      <xdr:sp macro="" textlink="">
        <xdr:nvSpPr>
          <xdr:cNvPr id="4047" name="Line 8979">
            <a:extLst>
              <a:ext uri="{FF2B5EF4-FFF2-40B4-BE49-F238E27FC236}">
                <a16:creationId xmlns:a16="http://schemas.microsoft.com/office/drawing/2014/main" id="{00000000-0008-0000-0000-0000CF0F0000}"/>
              </a:ext>
            </a:extLst>
          </xdr:cNvPr>
          <xdr:cNvSpPr>
            <a:spLocks noChangeShapeType="1"/>
          </xdr:cNvSpPr>
        </xdr:nvSpPr>
        <xdr:spPr bwMode="auto">
          <a:xfrm flipH="1">
            <a:off x="2155502" y="20774582"/>
            <a:ext cx="310297" cy="0"/>
          </a:xfrm>
          <a:prstGeom prst="line">
            <a:avLst/>
          </a:prstGeom>
          <a:noFill/>
          <a:ln w="9525">
            <a:solidFill>
              <a:srgbClr val="000000"/>
            </a:solidFill>
            <a:round/>
            <a:headEnd/>
            <a:tailEnd type="arrow" w="med" len="med"/>
          </a:ln>
        </xdr:spPr>
      </xdr:sp>
      <xdr:sp macro="" textlink="">
        <xdr:nvSpPr>
          <xdr:cNvPr id="4048" name="Line 8980">
            <a:extLst>
              <a:ext uri="{FF2B5EF4-FFF2-40B4-BE49-F238E27FC236}">
                <a16:creationId xmlns:a16="http://schemas.microsoft.com/office/drawing/2014/main" id="{00000000-0008-0000-0000-0000D00F0000}"/>
              </a:ext>
            </a:extLst>
          </xdr:cNvPr>
          <xdr:cNvSpPr>
            <a:spLocks noChangeShapeType="1"/>
          </xdr:cNvSpPr>
        </xdr:nvSpPr>
        <xdr:spPr bwMode="auto">
          <a:xfrm flipH="1">
            <a:off x="2155502" y="20870176"/>
            <a:ext cx="310297" cy="0"/>
          </a:xfrm>
          <a:prstGeom prst="line">
            <a:avLst/>
          </a:prstGeom>
          <a:noFill/>
          <a:ln w="9525">
            <a:solidFill>
              <a:srgbClr val="000000"/>
            </a:solidFill>
            <a:round/>
            <a:headEnd/>
            <a:tailEnd type="arrow" w="med" len="med"/>
          </a:ln>
        </xdr:spPr>
      </xdr:sp>
      <xdr:sp macro="" textlink="">
        <xdr:nvSpPr>
          <xdr:cNvPr id="4049" name="Line 8981">
            <a:extLst>
              <a:ext uri="{FF2B5EF4-FFF2-40B4-BE49-F238E27FC236}">
                <a16:creationId xmlns:a16="http://schemas.microsoft.com/office/drawing/2014/main" id="{00000000-0008-0000-0000-0000D10F0000}"/>
              </a:ext>
            </a:extLst>
          </xdr:cNvPr>
          <xdr:cNvSpPr>
            <a:spLocks noChangeShapeType="1"/>
          </xdr:cNvSpPr>
        </xdr:nvSpPr>
        <xdr:spPr bwMode="auto">
          <a:xfrm flipH="1">
            <a:off x="2155502" y="20965768"/>
            <a:ext cx="310297" cy="0"/>
          </a:xfrm>
          <a:prstGeom prst="line">
            <a:avLst/>
          </a:prstGeom>
          <a:noFill/>
          <a:ln w="9525">
            <a:solidFill>
              <a:srgbClr val="000000"/>
            </a:solidFill>
            <a:round/>
            <a:headEnd/>
            <a:tailEnd type="arrow" w="med" len="med"/>
          </a:ln>
        </xdr:spPr>
      </xdr:sp>
      <xdr:sp macro="" textlink="">
        <xdr:nvSpPr>
          <xdr:cNvPr id="4050" name="Line 8982">
            <a:extLst>
              <a:ext uri="{FF2B5EF4-FFF2-40B4-BE49-F238E27FC236}">
                <a16:creationId xmlns:a16="http://schemas.microsoft.com/office/drawing/2014/main" id="{00000000-0008-0000-0000-0000D20F0000}"/>
              </a:ext>
            </a:extLst>
          </xdr:cNvPr>
          <xdr:cNvSpPr>
            <a:spLocks noChangeShapeType="1"/>
          </xdr:cNvSpPr>
        </xdr:nvSpPr>
        <xdr:spPr bwMode="auto">
          <a:xfrm flipH="1">
            <a:off x="2161586" y="21055387"/>
            <a:ext cx="310297" cy="0"/>
          </a:xfrm>
          <a:prstGeom prst="line">
            <a:avLst/>
          </a:prstGeom>
          <a:noFill/>
          <a:ln w="9525">
            <a:solidFill>
              <a:srgbClr val="000000"/>
            </a:solidFill>
            <a:round/>
            <a:headEnd/>
            <a:tailEnd type="arrow" w="med" len="med"/>
          </a:ln>
        </xdr:spPr>
      </xdr:sp>
      <xdr:sp macro="" textlink="">
        <xdr:nvSpPr>
          <xdr:cNvPr id="4051" name="Line 8983">
            <a:extLst>
              <a:ext uri="{FF2B5EF4-FFF2-40B4-BE49-F238E27FC236}">
                <a16:creationId xmlns:a16="http://schemas.microsoft.com/office/drawing/2014/main" id="{00000000-0008-0000-0000-0000D30F0000}"/>
              </a:ext>
            </a:extLst>
          </xdr:cNvPr>
          <xdr:cNvSpPr>
            <a:spLocks noChangeShapeType="1"/>
          </xdr:cNvSpPr>
        </xdr:nvSpPr>
        <xdr:spPr bwMode="auto">
          <a:xfrm flipH="1">
            <a:off x="2155502" y="21150979"/>
            <a:ext cx="310297" cy="0"/>
          </a:xfrm>
          <a:prstGeom prst="line">
            <a:avLst/>
          </a:prstGeom>
          <a:noFill/>
          <a:ln w="9525">
            <a:solidFill>
              <a:srgbClr val="000000"/>
            </a:solidFill>
            <a:round/>
            <a:headEnd/>
            <a:tailEnd type="arrow" w="med" len="med"/>
          </a:ln>
        </xdr:spPr>
      </xdr:sp>
      <xdr:sp macro="" textlink="">
        <xdr:nvSpPr>
          <xdr:cNvPr id="4052" name="Line 8984">
            <a:extLst>
              <a:ext uri="{FF2B5EF4-FFF2-40B4-BE49-F238E27FC236}">
                <a16:creationId xmlns:a16="http://schemas.microsoft.com/office/drawing/2014/main" id="{00000000-0008-0000-0000-0000D40F0000}"/>
              </a:ext>
            </a:extLst>
          </xdr:cNvPr>
          <xdr:cNvSpPr>
            <a:spLocks noChangeShapeType="1"/>
          </xdr:cNvSpPr>
        </xdr:nvSpPr>
        <xdr:spPr bwMode="auto">
          <a:xfrm flipH="1">
            <a:off x="2155502" y="21252547"/>
            <a:ext cx="310297" cy="0"/>
          </a:xfrm>
          <a:prstGeom prst="line">
            <a:avLst/>
          </a:prstGeom>
          <a:noFill/>
          <a:ln w="9525">
            <a:solidFill>
              <a:srgbClr val="000000"/>
            </a:solidFill>
            <a:round/>
            <a:headEnd/>
            <a:tailEnd type="arrow" w="med" len="med"/>
          </a:ln>
        </xdr:spPr>
      </xdr:sp>
      <xdr:grpSp>
        <xdr:nvGrpSpPr>
          <xdr:cNvPr id="4053" name="Group 315">
            <a:extLst>
              <a:ext uri="{FF2B5EF4-FFF2-40B4-BE49-F238E27FC236}">
                <a16:creationId xmlns:a16="http://schemas.microsoft.com/office/drawing/2014/main" id="{00000000-0008-0000-0000-0000D50F0000}"/>
              </a:ext>
            </a:extLst>
          </xdr:cNvPr>
          <xdr:cNvGrpSpPr>
            <a:grpSpLocks/>
          </xdr:cNvGrpSpPr>
        </xdr:nvGrpSpPr>
        <xdr:grpSpPr bwMode="auto">
          <a:xfrm>
            <a:off x="3427629" y="20025418"/>
            <a:ext cx="967210" cy="1552946"/>
            <a:chOff x="2892526" y="19877843"/>
            <a:chExt cx="972968" cy="1499571"/>
          </a:xfrm>
        </xdr:grpSpPr>
        <xdr:sp macro="" textlink="">
          <xdr:nvSpPr>
            <xdr:cNvPr id="4106" name="Right Triangle 610">
              <a:extLst>
                <a:ext uri="{FF2B5EF4-FFF2-40B4-BE49-F238E27FC236}">
                  <a16:creationId xmlns:a16="http://schemas.microsoft.com/office/drawing/2014/main" id="{00000000-0008-0000-0000-00000A100000}"/>
                </a:ext>
              </a:extLst>
            </xdr:cNvPr>
            <xdr:cNvSpPr>
              <a:spLocks noChangeArrowheads="1"/>
            </xdr:cNvSpPr>
          </xdr:nvSpPr>
          <xdr:spPr bwMode="auto">
            <a:xfrm>
              <a:off x="2898912" y="19877843"/>
              <a:ext cx="825837" cy="1274995"/>
            </a:xfrm>
            <a:prstGeom prst="rtTriangle">
              <a:avLst/>
            </a:prstGeom>
            <a:solidFill>
              <a:srgbClr val="FFFFFF"/>
            </a:solidFill>
            <a:ln w="25400" algn="ctr">
              <a:solidFill>
                <a:srgbClr val="000000"/>
              </a:solidFill>
              <a:miter lim="800000"/>
              <a:headEnd/>
              <a:tailEnd/>
            </a:ln>
          </xdr:spPr>
        </xdr:sp>
        <xdr:cxnSp macro="">
          <xdr:nvCxnSpPr>
            <xdr:cNvPr id="4107" name="Straight Arrow Connector 620">
              <a:extLst>
                <a:ext uri="{FF2B5EF4-FFF2-40B4-BE49-F238E27FC236}">
                  <a16:creationId xmlns:a16="http://schemas.microsoft.com/office/drawing/2014/main" id="{00000000-0008-0000-0000-00000B100000}"/>
                </a:ext>
              </a:extLst>
            </xdr:cNvPr>
            <xdr:cNvCxnSpPr>
              <a:cxnSpLocks noChangeShapeType="1"/>
            </xdr:cNvCxnSpPr>
          </xdr:nvCxnSpPr>
          <xdr:spPr bwMode="auto">
            <a:xfrm rot="10800000" flipV="1">
              <a:off x="2892526" y="20695561"/>
              <a:ext cx="972968" cy="16139"/>
            </a:xfrm>
            <a:prstGeom prst="straightConnector1">
              <a:avLst/>
            </a:prstGeom>
            <a:noFill/>
            <a:ln w="28575" algn="ctr">
              <a:solidFill>
                <a:srgbClr val="4A7EBB"/>
              </a:solidFill>
              <a:round/>
              <a:headEnd/>
              <a:tailEnd type="arrow" w="med" len="med"/>
            </a:ln>
          </xdr:spPr>
        </xdr:cxnSp>
        <xdr:sp macro="" textlink="">
          <xdr:nvSpPr>
            <xdr:cNvPr id="4108" name="Line 8986">
              <a:extLst>
                <a:ext uri="{FF2B5EF4-FFF2-40B4-BE49-F238E27FC236}">
                  <a16:creationId xmlns:a16="http://schemas.microsoft.com/office/drawing/2014/main" id="{00000000-0008-0000-0000-00000C100000}"/>
                </a:ext>
              </a:extLst>
            </xdr:cNvPr>
            <xdr:cNvSpPr>
              <a:spLocks noChangeShapeType="1"/>
            </xdr:cNvSpPr>
          </xdr:nvSpPr>
          <xdr:spPr bwMode="auto">
            <a:xfrm flipH="1">
              <a:off x="2894318" y="20068227"/>
              <a:ext cx="85670" cy="0"/>
            </a:xfrm>
            <a:prstGeom prst="line">
              <a:avLst/>
            </a:prstGeom>
            <a:noFill/>
            <a:ln w="9525">
              <a:solidFill>
                <a:srgbClr val="000000"/>
              </a:solidFill>
              <a:round/>
              <a:headEnd/>
              <a:tailEnd type="arrow" w="med" len="med"/>
            </a:ln>
          </xdr:spPr>
        </xdr:sp>
        <xdr:sp macro="" textlink="">
          <xdr:nvSpPr>
            <xdr:cNvPr id="4109" name="Line 8987">
              <a:extLst>
                <a:ext uri="{FF2B5EF4-FFF2-40B4-BE49-F238E27FC236}">
                  <a16:creationId xmlns:a16="http://schemas.microsoft.com/office/drawing/2014/main" id="{00000000-0008-0000-0000-00000D100000}"/>
                </a:ext>
              </a:extLst>
            </xdr:cNvPr>
            <xdr:cNvSpPr>
              <a:spLocks noChangeShapeType="1"/>
            </xdr:cNvSpPr>
          </xdr:nvSpPr>
          <xdr:spPr bwMode="auto">
            <a:xfrm flipH="1">
              <a:off x="2894318" y="20154765"/>
              <a:ext cx="159102" cy="0"/>
            </a:xfrm>
            <a:prstGeom prst="line">
              <a:avLst/>
            </a:prstGeom>
            <a:noFill/>
            <a:ln w="9525">
              <a:solidFill>
                <a:srgbClr val="000000"/>
              </a:solidFill>
              <a:round/>
              <a:headEnd/>
              <a:tailEnd type="arrow" w="med" len="med"/>
            </a:ln>
          </xdr:spPr>
        </xdr:sp>
        <xdr:sp macro="" textlink="">
          <xdr:nvSpPr>
            <xdr:cNvPr id="4110" name="Line 8988">
              <a:extLst>
                <a:ext uri="{FF2B5EF4-FFF2-40B4-BE49-F238E27FC236}">
                  <a16:creationId xmlns:a16="http://schemas.microsoft.com/office/drawing/2014/main" id="{00000000-0008-0000-0000-00000E100000}"/>
                </a:ext>
              </a:extLst>
            </xdr:cNvPr>
            <xdr:cNvSpPr>
              <a:spLocks noChangeShapeType="1"/>
            </xdr:cNvSpPr>
          </xdr:nvSpPr>
          <xdr:spPr bwMode="auto">
            <a:xfrm flipH="1">
              <a:off x="2900437" y="20247072"/>
              <a:ext cx="208056" cy="0"/>
            </a:xfrm>
            <a:prstGeom prst="line">
              <a:avLst/>
            </a:prstGeom>
            <a:noFill/>
            <a:ln w="9525">
              <a:solidFill>
                <a:srgbClr val="000000"/>
              </a:solidFill>
              <a:round/>
              <a:headEnd/>
              <a:tailEnd type="arrow" w="med" len="med"/>
            </a:ln>
          </xdr:spPr>
        </xdr:sp>
        <xdr:sp macro="" textlink="">
          <xdr:nvSpPr>
            <xdr:cNvPr id="4111" name="Line 8989">
              <a:extLst>
                <a:ext uri="{FF2B5EF4-FFF2-40B4-BE49-F238E27FC236}">
                  <a16:creationId xmlns:a16="http://schemas.microsoft.com/office/drawing/2014/main" id="{00000000-0008-0000-0000-00000F100000}"/>
                </a:ext>
              </a:extLst>
            </xdr:cNvPr>
            <xdr:cNvSpPr>
              <a:spLocks noChangeShapeType="1"/>
            </xdr:cNvSpPr>
          </xdr:nvSpPr>
          <xdr:spPr bwMode="auto">
            <a:xfrm flipH="1">
              <a:off x="2900437" y="20333610"/>
              <a:ext cx="244772" cy="0"/>
            </a:xfrm>
            <a:prstGeom prst="line">
              <a:avLst/>
            </a:prstGeom>
            <a:noFill/>
            <a:ln w="9525">
              <a:solidFill>
                <a:srgbClr val="000000"/>
              </a:solidFill>
              <a:round/>
              <a:headEnd/>
              <a:tailEnd type="arrow" w="med" len="med"/>
            </a:ln>
          </xdr:spPr>
        </xdr:sp>
        <xdr:sp macro="" textlink="">
          <xdr:nvSpPr>
            <xdr:cNvPr id="4112" name="Line 8990">
              <a:extLst>
                <a:ext uri="{FF2B5EF4-FFF2-40B4-BE49-F238E27FC236}">
                  <a16:creationId xmlns:a16="http://schemas.microsoft.com/office/drawing/2014/main" id="{00000000-0008-0000-0000-000010100000}"/>
                </a:ext>
              </a:extLst>
            </xdr:cNvPr>
            <xdr:cNvSpPr>
              <a:spLocks noChangeShapeType="1"/>
            </xdr:cNvSpPr>
          </xdr:nvSpPr>
          <xdr:spPr bwMode="auto">
            <a:xfrm flipH="1">
              <a:off x="2900437" y="20425918"/>
              <a:ext cx="312084" cy="0"/>
            </a:xfrm>
            <a:prstGeom prst="line">
              <a:avLst/>
            </a:prstGeom>
            <a:noFill/>
            <a:ln w="9525">
              <a:solidFill>
                <a:srgbClr val="000000"/>
              </a:solidFill>
              <a:round/>
              <a:headEnd/>
              <a:tailEnd type="arrow" w="med" len="med"/>
            </a:ln>
          </xdr:spPr>
        </xdr:sp>
        <xdr:sp macro="" textlink="">
          <xdr:nvSpPr>
            <xdr:cNvPr id="4113" name="Line 8991">
              <a:extLst>
                <a:ext uri="{FF2B5EF4-FFF2-40B4-BE49-F238E27FC236}">
                  <a16:creationId xmlns:a16="http://schemas.microsoft.com/office/drawing/2014/main" id="{00000000-0008-0000-0000-000011100000}"/>
                </a:ext>
              </a:extLst>
            </xdr:cNvPr>
            <xdr:cNvSpPr>
              <a:spLocks noChangeShapeType="1"/>
            </xdr:cNvSpPr>
          </xdr:nvSpPr>
          <xdr:spPr bwMode="auto">
            <a:xfrm flipH="1">
              <a:off x="2900437" y="20518225"/>
              <a:ext cx="373277" cy="0"/>
            </a:xfrm>
            <a:prstGeom prst="line">
              <a:avLst/>
            </a:prstGeom>
            <a:noFill/>
            <a:ln w="9525">
              <a:solidFill>
                <a:srgbClr val="000000"/>
              </a:solidFill>
              <a:round/>
              <a:headEnd/>
              <a:tailEnd type="arrow" w="med" len="med"/>
            </a:ln>
          </xdr:spPr>
        </xdr:sp>
        <xdr:sp macro="" textlink="">
          <xdr:nvSpPr>
            <xdr:cNvPr id="4114" name="Line 8992">
              <a:extLst>
                <a:ext uri="{FF2B5EF4-FFF2-40B4-BE49-F238E27FC236}">
                  <a16:creationId xmlns:a16="http://schemas.microsoft.com/office/drawing/2014/main" id="{00000000-0008-0000-0000-000012100000}"/>
                </a:ext>
              </a:extLst>
            </xdr:cNvPr>
            <xdr:cNvSpPr>
              <a:spLocks noChangeShapeType="1"/>
            </xdr:cNvSpPr>
          </xdr:nvSpPr>
          <xdr:spPr bwMode="auto">
            <a:xfrm flipH="1">
              <a:off x="2900437" y="20604763"/>
              <a:ext cx="428351" cy="0"/>
            </a:xfrm>
            <a:prstGeom prst="line">
              <a:avLst/>
            </a:prstGeom>
            <a:noFill/>
            <a:ln w="9525">
              <a:solidFill>
                <a:srgbClr val="000000"/>
              </a:solidFill>
              <a:round/>
              <a:headEnd/>
              <a:tailEnd type="arrow" w="med" len="med"/>
            </a:ln>
          </xdr:spPr>
        </xdr:sp>
        <xdr:sp macro="" textlink="">
          <xdr:nvSpPr>
            <xdr:cNvPr id="4115" name="Line 8993">
              <a:extLst>
                <a:ext uri="{FF2B5EF4-FFF2-40B4-BE49-F238E27FC236}">
                  <a16:creationId xmlns:a16="http://schemas.microsoft.com/office/drawing/2014/main" id="{00000000-0008-0000-0000-000013100000}"/>
                </a:ext>
              </a:extLst>
            </xdr:cNvPr>
            <xdr:cNvSpPr>
              <a:spLocks noChangeShapeType="1"/>
            </xdr:cNvSpPr>
          </xdr:nvSpPr>
          <xdr:spPr bwMode="auto">
            <a:xfrm flipH="1">
              <a:off x="2900437" y="20697070"/>
              <a:ext cx="471186" cy="0"/>
            </a:xfrm>
            <a:prstGeom prst="line">
              <a:avLst/>
            </a:prstGeom>
            <a:noFill/>
            <a:ln w="9525">
              <a:solidFill>
                <a:srgbClr val="000000"/>
              </a:solidFill>
              <a:round/>
              <a:headEnd/>
              <a:tailEnd type="arrow" w="med" len="med"/>
            </a:ln>
          </xdr:spPr>
        </xdr:sp>
        <xdr:sp macro="" textlink="">
          <xdr:nvSpPr>
            <xdr:cNvPr id="4116" name="Line 8994">
              <a:extLst>
                <a:ext uri="{FF2B5EF4-FFF2-40B4-BE49-F238E27FC236}">
                  <a16:creationId xmlns:a16="http://schemas.microsoft.com/office/drawing/2014/main" id="{00000000-0008-0000-0000-000014100000}"/>
                </a:ext>
              </a:extLst>
            </xdr:cNvPr>
            <xdr:cNvSpPr>
              <a:spLocks noChangeShapeType="1"/>
            </xdr:cNvSpPr>
          </xdr:nvSpPr>
          <xdr:spPr bwMode="auto">
            <a:xfrm flipH="1">
              <a:off x="2900437" y="20789378"/>
              <a:ext cx="532379" cy="0"/>
            </a:xfrm>
            <a:prstGeom prst="line">
              <a:avLst/>
            </a:prstGeom>
            <a:noFill/>
            <a:ln w="9525">
              <a:solidFill>
                <a:srgbClr val="000000"/>
              </a:solidFill>
              <a:round/>
              <a:headEnd/>
              <a:tailEnd type="arrow" w="med" len="med"/>
            </a:ln>
          </xdr:spPr>
        </xdr:sp>
        <xdr:sp macro="" textlink="">
          <xdr:nvSpPr>
            <xdr:cNvPr id="4117" name="Line 8995">
              <a:extLst>
                <a:ext uri="{FF2B5EF4-FFF2-40B4-BE49-F238E27FC236}">
                  <a16:creationId xmlns:a16="http://schemas.microsoft.com/office/drawing/2014/main" id="{00000000-0008-0000-0000-000015100000}"/>
                </a:ext>
              </a:extLst>
            </xdr:cNvPr>
            <xdr:cNvSpPr>
              <a:spLocks noChangeShapeType="1"/>
            </xdr:cNvSpPr>
          </xdr:nvSpPr>
          <xdr:spPr bwMode="auto">
            <a:xfrm flipH="1">
              <a:off x="2906556" y="20875916"/>
              <a:ext cx="599691" cy="0"/>
            </a:xfrm>
            <a:prstGeom prst="line">
              <a:avLst/>
            </a:prstGeom>
            <a:noFill/>
            <a:ln w="9525">
              <a:solidFill>
                <a:srgbClr val="000000"/>
              </a:solidFill>
              <a:round/>
              <a:headEnd/>
              <a:tailEnd type="arrow" w="med" len="med"/>
            </a:ln>
          </xdr:spPr>
        </xdr:sp>
        <xdr:sp macro="" textlink="">
          <xdr:nvSpPr>
            <xdr:cNvPr id="4118" name="Line 8996">
              <a:extLst>
                <a:ext uri="{FF2B5EF4-FFF2-40B4-BE49-F238E27FC236}">
                  <a16:creationId xmlns:a16="http://schemas.microsoft.com/office/drawing/2014/main" id="{00000000-0008-0000-0000-000016100000}"/>
                </a:ext>
              </a:extLst>
            </xdr:cNvPr>
            <xdr:cNvSpPr>
              <a:spLocks noChangeShapeType="1"/>
            </xdr:cNvSpPr>
          </xdr:nvSpPr>
          <xdr:spPr bwMode="auto">
            <a:xfrm flipH="1">
              <a:off x="2900437" y="20968223"/>
              <a:ext cx="654765" cy="0"/>
            </a:xfrm>
            <a:prstGeom prst="line">
              <a:avLst/>
            </a:prstGeom>
            <a:noFill/>
            <a:ln w="9525">
              <a:solidFill>
                <a:srgbClr val="000000"/>
              </a:solidFill>
              <a:round/>
              <a:headEnd/>
              <a:tailEnd type="arrow" w="med" len="med"/>
            </a:ln>
          </xdr:spPr>
        </xdr:sp>
        <xdr:sp macro="" textlink="">
          <xdr:nvSpPr>
            <xdr:cNvPr id="4119" name="Line 8997">
              <a:extLst>
                <a:ext uri="{FF2B5EF4-FFF2-40B4-BE49-F238E27FC236}">
                  <a16:creationId xmlns:a16="http://schemas.microsoft.com/office/drawing/2014/main" id="{00000000-0008-0000-0000-000017100000}"/>
                </a:ext>
              </a:extLst>
            </xdr:cNvPr>
            <xdr:cNvSpPr>
              <a:spLocks noChangeShapeType="1"/>
            </xdr:cNvSpPr>
          </xdr:nvSpPr>
          <xdr:spPr bwMode="auto">
            <a:xfrm flipH="1">
              <a:off x="2900437" y="21066300"/>
              <a:ext cx="715958" cy="0"/>
            </a:xfrm>
            <a:prstGeom prst="line">
              <a:avLst/>
            </a:prstGeom>
            <a:noFill/>
            <a:ln w="9525">
              <a:solidFill>
                <a:srgbClr val="000000"/>
              </a:solidFill>
              <a:round/>
              <a:headEnd/>
              <a:tailEnd type="arrow" w="med" len="med"/>
            </a:ln>
          </xdr:spPr>
        </xdr:sp>
        <xdr:sp macro="" textlink="">
          <xdr:nvSpPr>
            <xdr:cNvPr id="315" name="Text Box 8517">
              <a:extLst>
                <a:ext uri="{FF2B5EF4-FFF2-40B4-BE49-F238E27FC236}">
                  <a16:creationId xmlns:a16="http://schemas.microsoft.com/office/drawing/2014/main" id="{00000000-0008-0000-0000-00003B010000}"/>
                </a:ext>
              </a:extLst>
            </xdr:cNvPr>
            <xdr:cNvSpPr txBox="1">
              <a:spLocks noChangeArrowheads="1"/>
            </xdr:cNvSpPr>
          </xdr:nvSpPr>
          <xdr:spPr bwMode="auto">
            <a:xfrm>
              <a:off x="3059181" y="21119511"/>
              <a:ext cx="611602" cy="257903"/>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ka </a:t>
              </a:r>
              <a:r>
                <a:rPr lang="en-US" sz="900" b="0" i="0" strike="noStrike">
                  <a:solidFill>
                    <a:srgbClr val="000000"/>
                  </a:solidFill>
                  <a:latin typeface="Symbol"/>
                </a:rPr>
                <a:t>g</a:t>
              </a:r>
              <a:r>
                <a:rPr lang="en-US" sz="900" b="0" i="0" strike="noStrike" baseline="-25000">
                  <a:solidFill>
                    <a:srgbClr val="000000"/>
                  </a:solidFill>
                  <a:latin typeface="Calibri"/>
                  <a:cs typeface="Calibri"/>
                </a:rPr>
                <a:t>s</a:t>
              </a:r>
              <a:r>
                <a:rPr lang="en-US" sz="900" b="0" i="0" strike="noStrike">
                  <a:solidFill>
                    <a:srgbClr val="000000"/>
                  </a:solidFill>
                  <a:latin typeface="Calibri"/>
                  <a:cs typeface="Calibri"/>
                </a:rPr>
                <a:t> h</a:t>
              </a:r>
            </a:p>
          </xdr:txBody>
        </xdr:sp>
      </xdr:grpSp>
      <xdr:sp macro="" textlink="">
        <xdr:nvSpPr>
          <xdr:cNvPr id="328" name="Text Box 8510">
            <a:extLst>
              <a:ext uri="{FF2B5EF4-FFF2-40B4-BE49-F238E27FC236}">
                <a16:creationId xmlns:a16="http://schemas.microsoft.com/office/drawing/2014/main" id="{00000000-0008-0000-0000-000048010000}"/>
              </a:ext>
            </a:extLst>
          </xdr:cNvPr>
          <xdr:cNvSpPr txBox="1">
            <a:spLocks noChangeArrowheads="1"/>
          </xdr:cNvSpPr>
        </xdr:nvSpPr>
        <xdr:spPr bwMode="auto">
          <a:xfrm>
            <a:off x="3840290" y="20471876"/>
            <a:ext cx="1405960" cy="25754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  P</a:t>
            </a:r>
            <a:r>
              <a:rPr lang="en-US" sz="900" b="0" i="0" strike="noStrike" baseline="-25000">
                <a:solidFill>
                  <a:srgbClr val="000000"/>
                </a:solidFill>
                <a:latin typeface="Arial"/>
                <a:cs typeface="Arial"/>
              </a:rPr>
              <a:t>sp</a:t>
            </a:r>
            <a:r>
              <a:rPr lang="en-US" sz="900" b="0" i="0" strike="noStrike">
                <a:solidFill>
                  <a:srgbClr val="000000"/>
                </a:solidFill>
                <a:latin typeface="Arial"/>
                <a:cs typeface="Arial"/>
              </a:rPr>
              <a:t> = ( 1 / 2 ) Ka </a:t>
            </a:r>
            <a:r>
              <a:rPr lang="en-US" sz="900" b="0" i="0" strike="noStrike">
                <a:solidFill>
                  <a:srgbClr val="000000"/>
                </a:solidFill>
                <a:latin typeface="Symbol"/>
              </a:rPr>
              <a:t>g</a:t>
            </a:r>
            <a:r>
              <a:rPr lang="en-US" sz="900" b="0" i="0" strike="noStrike" baseline="-25000">
                <a:solidFill>
                  <a:srgbClr val="000000"/>
                </a:solidFill>
                <a:latin typeface="Arial"/>
                <a:cs typeface="Arial"/>
              </a:rPr>
              <a:t>s</a:t>
            </a:r>
            <a:r>
              <a:rPr lang="en-US" sz="900" b="0" i="0" strike="noStrike">
                <a:solidFill>
                  <a:srgbClr val="000000"/>
                </a:solidFill>
                <a:latin typeface="Arial"/>
                <a:cs typeface="Arial"/>
              </a:rPr>
              <a:t> H </a:t>
            </a:r>
            <a:r>
              <a:rPr lang="en-US" sz="900" b="0" i="0" strike="noStrike" baseline="30000">
                <a:solidFill>
                  <a:srgbClr val="000000"/>
                </a:solidFill>
                <a:latin typeface="Arial"/>
                <a:cs typeface="Arial"/>
              </a:rPr>
              <a:t>2</a:t>
            </a:r>
          </a:p>
        </xdr:txBody>
      </xdr:sp>
      <xdr:sp macro="" textlink="">
        <xdr:nvSpPr>
          <xdr:cNvPr id="4055" name="Line 279">
            <a:extLst>
              <a:ext uri="{FF2B5EF4-FFF2-40B4-BE49-F238E27FC236}">
                <a16:creationId xmlns:a16="http://schemas.microsoft.com/office/drawing/2014/main" id="{00000000-0008-0000-0000-0000D70F0000}"/>
              </a:ext>
            </a:extLst>
          </xdr:cNvPr>
          <xdr:cNvSpPr>
            <a:spLocks noChangeShapeType="1"/>
          </xdr:cNvSpPr>
        </xdr:nvSpPr>
        <xdr:spPr bwMode="auto">
          <a:xfrm flipH="1">
            <a:off x="185758" y="21096560"/>
            <a:ext cx="583346" cy="156696"/>
          </a:xfrm>
          <a:prstGeom prst="line">
            <a:avLst/>
          </a:prstGeom>
          <a:noFill/>
          <a:ln w="9525">
            <a:solidFill>
              <a:srgbClr val="000000"/>
            </a:solidFill>
            <a:prstDash val="dash"/>
            <a:round/>
            <a:headEnd/>
            <a:tailEnd/>
          </a:ln>
        </xdr:spPr>
      </xdr:sp>
      <xdr:sp macro="" textlink="">
        <xdr:nvSpPr>
          <xdr:cNvPr id="4056" name="Line 280">
            <a:extLst>
              <a:ext uri="{FF2B5EF4-FFF2-40B4-BE49-F238E27FC236}">
                <a16:creationId xmlns:a16="http://schemas.microsoft.com/office/drawing/2014/main" id="{00000000-0008-0000-0000-0000D80F0000}"/>
              </a:ext>
            </a:extLst>
          </xdr:cNvPr>
          <xdr:cNvSpPr>
            <a:spLocks noChangeShapeType="1"/>
          </xdr:cNvSpPr>
        </xdr:nvSpPr>
        <xdr:spPr bwMode="auto">
          <a:xfrm>
            <a:off x="1260355" y="21082935"/>
            <a:ext cx="570984" cy="170322"/>
          </a:xfrm>
          <a:prstGeom prst="line">
            <a:avLst/>
          </a:prstGeom>
          <a:noFill/>
          <a:ln w="9525">
            <a:solidFill>
              <a:srgbClr val="000000"/>
            </a:solidFill>
            <a:prstDash val="dash"/>
            <a:round/>
            <a:headEnd/>
            <a:tailEnd/>
          </a:ln>
        </xdr:spPr>
      </xdr:sp>
      <xdr:sp macro="" textlink="">
        <xdr:nvSpPr>
          <xdr:cNvPr id="4057" name="Line 356">
            <a:extLst>
              <a:ext uri="{FF2B5EF4-FFF2-40B4-BE49-F238E27FC236}">
                <a16:creationId xmlns:a16="http://schemas.microsoft.com/office/drawing/2014/main" id="{00000000-0008-0000-0000-0000D90F0000}"/>
              </a:ext>
            </a:extLst>
          </xdr:cNvPr>
          <xdr:cNvSpPr>
            <a:spLocks noChangeShapeType="1"/>
          </xdr:cNvSpPr>
        </xdr:nvSpPr>
        <xdr:spPr bwMode="auto">
          <a:xfrm flipH="1">
            <a:off x="125896" y="20755918"/>
            <a:ext cx="1828938" cy="0"/>
          </a:xfrm>
          <a:prstGeom prst="line">
            <a:avLst/>
          </a:prstGeom>
          <a:noFill/>
          <a:ln w="9525">
            <a:solidFill>
              <a:srgbClr val="000000"/>
            </a:solidFill>
            <a:round/>
            <a:headEnd/>
            <a:tailEnd/>
          </a:ln>
        </xdr:spPr>
      </xdr:sp>
      <xdr:sp macro="" textlink="">
        <xdr:nvSpPr>
          <xdr:cNvPr id="4058" name="Line 357">
            <a:extLst>
              <a:ext uri="{FF2B5EF4-FFF2-40B4-BE49-F238E27FC236}">
                <a16:creationId xmlns:a16="http://schemas.microsoft.com/office/drawing/2014/main" id="{00000000-0008-0000-0000-0000DA0F0000}"/>
              </a:ext>
            </a:extLst>
          </xdr:cNvPr>
          <xdr:cNvSpPr>
            <a:spLocks noChangeShapeType="1"/>
          </xdr:cNvSpPr>
        </xdr:nvSpPr>
        <xdr:spPr bwMode="auto">
          <a:xfrm flipH="1">
            <a:off x="273247" y="20755918"/>
            <a:ext cx="55257" cy="40877"/>
          </a:xfrm>
          <a:prstGeom prst="line">
            <a:avLst/>
          </a:prstGeom>
          <a:noFill/>
          <a:ln w="9525">
            <a:solidFill>
              <a:srgbClr val="000000"/>
            </a:solidFill>
            <a:round/>
            <a:headEnd/>
            <a:tailEnd/>
          </a:ln>
        </xdr:spPr>
      </xdr:sp>
      <xdr:sp macro="" textlink="">
        <xdr:nvSpPr>
          <xdr:cNvPr id="4059" name="Line 358">
            <a:extLst>
              <a:ext uri="{FF2B5EF4-FFF2-40B4-BE49-F238E27FC236}">
                <a16:creationId xmlns:a16="http://schemas.microsoft.com/office/drawing/2014/main" id="{00000000-0008-0000-0000-0000DB0F0000}"/>
              </a:ext>
            </a:extLst>
          </xdr:cNvPr>
          <xdr:cNvSpPr>
            <a:spLocks noChangeShapeType="1"/>
          </xdr:cNvSpPr>
        </xdr:nvSpPr>
        <xdr:spPr bwMode="auto">
          <a:xfrm flipH="1">
            <a:off x="300875" y="20755918"/>
            <a:ext cx="55257" cy="40877"/>
          </a:xfrm>
          <a:prstGeom prst="line">
            <a:avLst/>
          </a:prstGeom>
          <a:noFill/>
          <a:ln w="9525">
            <a:solidFill>
              <a:srgbClr val="000000"/>
            </a:solidFill>
            <a:round/>
            <a:headEnd/>
            <a:tailEnd/>
          </a:ln>
        </xdr:spPr>
      </xdr:sp>
      <xdr:sp macro="" textlink="">
        <xdr:nvSpPr>
          <xdr:cNvPr id="4060" name="Line 359">
            <a:extLst>
              <a:ext uri="{FF2B5EF4-FFF2-40B4-BE49-F238E27FC236}">
                <a16:creationId xmlns:a16="http://schemas.microsoft.com/office/drawing/2014/main" id="{00000000-0008-0000-0000-0000DC0F0000}"/>
              </a:ext>
            </a:extLst>
          </xdr:cNvPr>
          <xdr:cNvSpPr>
            <a:spLocks noChangeShapeType="1"/>
          </xdr:cNvSpPr>
        </xdr:nvSpPr>
        <xdr:spPr bwMode="auto">
          <a:xfrm flipH="1">
            <a:off x="333109" y="20755918"/>
            <a:ext cx="55257" cy="40877"/>
          </a:xfrm>
          <a:prstGeom prst="line">
            <a:avLst/>
          </a:prstGeom>
          <a:noFill/>
          <a:ln w="9525">
            <a:solidFill>
              <a:srgbClr val="000000"/>
            </a:solidFill>
            <a:round/>
            <a:headEnd/>
            <a:tailEnd/>
          </a:ln>
        </xdr:spPr>
      </xdr:sp>
      <xdr:sp macro="" textlink="">
        <xdr:nvSpPr>
          <xdr:cNvPr id="4061" name="Line 360">
            <a:extLst>
              <a:ext uri="{FF2B5EF4-FFF2-40B4-BE49-F238E27FC236}">
                <a16:creationId xmlns:a16="http://schemas.microsoft.com/office/drawing/2014/main" id="{00000000-0008-0000-0000-0000DD0F0000}"/>
              </a:ext>
            </a:extLst>
          </xdr:cNvPr>
          <xdr:cNvSpPr>
            <a:spLocks noChangeShapeType="1"/>
          </xdr:cNvSpPr>
        </xdr:nvSpPr>
        <xdr:spPr bwMode="auto">
          <a:xfrm>
            <a:off x="397574" y="20755918"/>
            <a:ext cx="50652" cy="47690"/>
          </a:xfrm>
          <a:prstGeom prst="line">
            <a:avLst/>
          </a:prstGeom>
          <a:noFill/>
          <a:ln w="9525">
            <a:solidFill>
              <a:srgbClr val="000000"/>
            </a:solidFill>
            <a:round/>
            <a:headEnd/>
            <a:tailEnd/>
          </a:ln>
        </xdr:spPr>
      </xdr:sp>
      <xdr:sp macro="" textlink="">
        <xdr:nvSpPr>
          <xdr:cNvPr id="4062" name="Line 361">
            <a:extLst>
              <a:ext uri="{FF2B5EF4-FFF2-40B4-BE49-F238E27FC236}">
                <a16:creationId xmlns:a16="http://schemas.microsoft.com/office/drawing/2014/main" id="{00000000-0008-0000-0000-0000DE0F0000}"/>
              </a:ext>
            </a:extLst>
          </xdr:cNvPr>
          <xdr:cNvSpPr>
            <a:spLocks noChangeShapeType="1"/>
          </xdr:cNvSpPr>
        </xdr:nvSpPr>
        <xdr:spPr bwMode="auto">
          <a:xfrm>
            <a:off x="429807" y="20755918"/>
            <a:ext cx="46047" cy="47690"/>
          </a:xfrm>
          <a:prstGeom prst="line">
            <a:avLst/>
          </a:prstGeom>
          <a:noFill/>
          <a:ln w="9525">
            <a:solidFill>
              <a:srgbClr val="000000"/>
            </a:solidFill>
            <a:round/>
            <a:headEnd/>
            <a:tailEnd/>
          </a:ln>
        </xdr:spPr>
      </xdr:sp>
      <xdr:sp macro="" textlink="">
        <xdr:nvSpPr>
          <xdr:cNvPr id="4063" name="Line 362">
            <a:extLst>
              <a:ext uri="{FF2B5EF4-FFF2-40B4-BE49-F238E27FC236}">
                <a16:creationId xmlns:a16="http://schemas.microsoft.com/office/drawing/2014/main" id="{00000000-0008-0000-0000-0000DF0F0000}"/>
              </a:ext>
            </a:extLst>
          </xdr:cNvPr>
          <xdr:cNvSpPr>
            <a:spLocks noChangeShapeType="1"/>
          </xdr:cNvSpPr>
        </xdr:nvSpPr>
        <xdr:spPr bwMode="auto">
          <a:xfrm>
            <a:off x="462040" y="20762732"/>
            <a:ext cx="46047" cy="47690"/>
          </a:xfrm>
          <a:prstGeom prst="line">
            <a:avLst/>
          </a:prstGeom>
          <a:noFill/>
          <a:ln w="9525">
            <a:solidFill>
              <a:srgbClr val="000000"/>
            </a:solidFill>
            <a:round/>
            <a:headEnd/>
            <a:tailEnd/>
          </a:ln>
        </xdr:spPr>
      </xdr:sp>
      <xdr:sp macro="" textlink="">
        <xdr:nvSpPr>
          <xdr:cNvPr id="4064" name="Line 293">
            <a:extLst>
              <a:ext uri="{FF2B5EF4-FFF2-40B4-BE49-F238E27FC236}">
                <a16:creationId xmlns:a16="http://schemas.microsoft.com/office/drawing/2014/main" id="{00000000-0008-0000-0000-0000E00F0000}"/>
              </a:ext>
            </a:extLst>
          </xdr:cNvPr>
          <xdr:cNvSpPr>
            <a:spLocks noChangeShapeType="1"/>
          </xdr:cNvSpPr>
        </xdr:nvSpPr>
        <xdr:spPr bwMode="auto">
          <a:xfrm>
            <a:off x="176548" y="21369075"/>
            <a:ext cx="1654790" cy="0"/>
          </a:xfrm>
          <a:prstGeom prst="line">
            <a:avLst/>
          </a:prstGeom>
          <a:noFill/>
          <a:ln w="9525">
            <a:solidFill>
              <a:srgbClr val="000000"/>
            </a:solidFill>
            <a:prstDash val="dash"/>
            <a:round/>
            <a:headEnd/>
            <a:tailEnd/>
          </a:ln>
        </xdr:spPr>
      </xdr:sp>
      <xdr:sp macro="" textlink="">
        <xdr:nvSpPr>
          <xdr:cNvPr id="4065" name="Line 294">
            <a:extLst>
              <a:ext uri="{FF2B5EF4-FFF2-40B4-BE49-F238E27FC236}">
                <a16:creationId xmlns:a16="http://schemas.microsoft.com/office/drawing/2014/main" id="{00000000-0008-0000-0000-0000E10F0000}"/>
              </a:ext>
            </a:extLst>
          </xdr:cNvPr>
          <xdr:cNvSpPr>
            <a:spLocks noChangeShapeType="1"/>
          </xdr:cNvSpPr>
        </xdr:nvSpPr>
        <xdr:spPr bwMode="auto">
          <a:xfrm flipH="1">
            <a:off x="176548" y="21260069"/>
            <a:ext cx="0" cy="115819"/>
          </a:xfrm>
          <a:prstGeom prst="line">
            <a:avLst/>
          </a:prstGeom>
          <a:noFill/>
          <a:ln w="9525">
            <a:solidFill>
              <a:srgbClr val="000000"/>
            </a:solidFill>
            <a:prstDash val="dash"/>
            <a:round/>
            <a:headEnd/>
            <a:tailEnd/>
          </a:ln>
        </xdr:spPr>
      </xdr:sp>
      <xdr:sp macro="" textlink="">
        <xdr:nvSpPr>
          <xdr:cNvPr id="4066" name="Line 295">
            <a:extLst>
              <a:ext uri="{FF2B5EF4-FFF2-40B4-BE49-F238E27FC236}">
                <a16:creationId xmlns:a16="http://schemas.microsoft.com/office/drawing/2014/main" id="{00000000-0008-0000-0000-0000E20F0000}"/>
              </a:ext>
            </a:extLst>
          </xdr:cNvPr>
          <xdr:cNvSpPr>
            <a:spLocks noChangeShapeType="1"/>
          </xdr:cNvSpPr>
        </xdr:nvSpPr>
        <xdr:spPr bwMode="auto">
          <a:xfrm flipH="1">
            <a:off x="1831338" y="21253256"/>
            <a:ext cx="0" cy="109006"/>
          </a:xfrm>
          <a:prstGeom prst="line">
            <a:avLst/>
          </a:prstGeom>
          <a:noFill/>
          <a:ln w="9525">
            <a:solidFill>
              <a:srgbClr val="000000"/>
            </a:solidFill>
            <a:prstDash val="dash"/>
            <a:round/>
            <a:headEnd/>
            <a:tailEnd/>
          </a:ln>
        </xdr:spPr>
      </xdr:sp>
      <xdr:sp macro="" textlink="">
        <xdr:nvSpPr>
          <xdr:cNvPr id="4067" name="Line 296">
            <a:extLst>
              <a:ext uri="{FF2B5EF4-FFF2-40B4-BE49-F238E27FC236}">
                <a16:creationId xmlns:a16="http://schemas.microsoft.com/office/drawing/2014/main" id="{00000000-0008-0000-0000-0000E30F0000}"/>
              </a:ext>
            </a:extLst>
          </xdr:cNvPr>
          <xdr:cNvSpPr>
            <a:spLocks noChangeShapeType="1"/>
          </xdr:cNvSpPr>
        </xdr:nvSpPr>
        <xdr:spPr bwMode="auto">
          <a:xfrm flipH="1">
            <a:off x="833569" y="20047381"/>
            <a:ext cx="110513" cy="708536"/>
          </a:xfrm>
          <a:prstGeom prst="line">
            <a:avLst/>
          </a:prstGeom>
          <a:noFill/>
          <a:ln w="9525">
            <a:solidFill>
              <a:srgbClr val="000000"/>
            </a:solidFill>
            <a:round/>
            <a:headEnd/>
            <a:tailEnd/>
          </a:ln>
        </xdr:spPr>
      </xdr:sp>
      <xdr:sp macro="" textlink="">
        <xdr:nvSpPr>
          <xdr:cNvPr id="4068" name="Line 297">
            <a:extLst>
              <a:ext uri="{FF2B5EF4-FFF2-40B4-BE49-F238E27FC236}">
                <a16:creationId xmlns:a16="http://schemas.microsoft.com/office/drawing/2014/main" id="{00000000-0008-0000-0000-0000E40F0000}"/>
              </a:ext>
            </a:extLst>
          </xdr:cNvPr>
          <xdr:cNvSpPr>
            <a:spLocks noChangeShapeType="1"/>
          </xdr:cNvSpPr>
        </xdr:nvSpPr>
        <xdr:spPr bwMode="auto">
          <a:xfrm flipH="1">
            <a:off x="769103" y="20749105"/>
            <a:ext cx="64465" cy="340642"/>
          </a:xfrm>
          <a:prstGeom prst="line">
            <a:avLst/>
          </a:prstGeom>
          <a:noFill/>
          <a:ln w="9525">
            <a:solidFill>
              <a:srgbClr val="000000"/>
            </a:solidFill>
            <a:prstDash val="dash"/>
            <a:round/>
            <a:headEnd/>
            <a:tailEnd/>
          </a:ln>
        </xdr:spPr>
      </xdr:sp>
      <xdr:sp macro="" textlink="">
        <xdr:nvSpPr>
          <xdr:cNvPr id="4069" name="Line 299">
            <a:extLst>
              <a:ext uri="{FF2B5EF4-FFF2-40B4-BE49-F238E27FC236}">
                <a16:creationId xmlns:a16="http://schemas.microsoft.com/office/drawing/2014/main" id="{00000000-0008-0000-0000-0000E50F0000}"/>
              </a:ext>
            </a:extLst>
          </xdr:cNvPr>
          <xdr:cNvSpPr>
            <a:spLocks noChangeShapeType="1"/>
          </xdr:cNvSpPr>
        </xdr:nvSpPr>
        <xdr:spPr bwMode="auto">
          <a:xfrm>
            <a:off x="948687" y="20047381"/>
            <a:ext cx="133537" cy="0"/>
          </a:xfrm>
          <a:prstGeom prst="line">
            <a:avLst/>
          </a:prstGeom>
          <a:noFill/>
          <a:ln w="9525">
            <a:solidFill>
              <a:srgbClr val="000000"/>
            </a:solidFill>
            <a:round/>
            <a:headEnd/>
            <a:tailEnd/>
          </a:ln>
        </xdr:spPr>
      </xdr:sp>
      <xdr:sp macro="" textlink="">
        <xdr:nvSpPr>
          <xdr:cNvPr id="4070" name="Line 300">
            <a:extLst>
              <a:ext uri="{FF2B5EF4-FFF2-40B4-BE49-F238E27FC236}">
                <a16:creationId xmlns:a16="http://schemas.microsoft.com/office/drawing/2014/main" id="{00000000-0008-0000-0000-0000E60F0000}"/>
              </a:ext>
            </a:extLst>
          </xdr:cNvPr>
          <xdr:cNvSpPr>
            <a:spLocks noChangeShapeType="1"/>
          </xdr:cNvSpPr>
        </xdr:nvSpPr>
        <xdr:spPr bwMode="auto">
          <a:xfrm>
            <a:off x="1082223" y="20047381"/>
            <a:ext cx="115117" cy="708536"/>
          </a:xfrm>
          <a:prstGeom prst="line">
            <a:avLst/>
          </a:prstGeom>
          <a:noFill/>
          <a:ln w="9525">
            <a:solidFill>
              <a:srgbClr val="000000"/>
            </a:solidFill>
            <a:round/>
            <a:headEnd/>
            <a:tailEnd/>
          </a:ln>
        </xdr:spPr>
      </xdr:sp>
      <xdr:sp macro="" textlink="">
        <xdr:nvSpPr>
          <xdr:cNvPr id="4071" name="Line 301">
            <a:extLst>
              <a:ext uri="{FF2B5EF4-FFF2-40B4-BE49-F238E27FC236}">
                <a16:creationId xmlns:a16="http://schemas.microsoft.com/office/drawing/2014/main" id="{00000000-0008-0000-0000-0000E70F0000}"/>
              </a:ext>
            </a:extLst>
          </xdr:cNvPr>
          <xdr:cNvSpPr>
            <a:spLocks noChangeShapeType="1"/>
          </xdr:cNvSpPr>
        </xdr:nvSpPr>
        <xdr:spPr bwMode="auto">
          <a:xfrm>
            <a:off x="1201945" y="20769544"/>
            <a:ext cx="63014" cy="313391"/>
          </a:xfrm>
          <a:prstGeom prst="line">
            <a:avLst/>
          </a:prstGeom>
          <a:noFill/>
          <a:ln w="9525">
            <a:solidFill>
              <a:srgbClr val="000000"/>
            </a:solidFill>
            <a:prstDash val="dash"/>
            <a:round/>
            <a:headEnd/>
            <a:tailEnd/>
          </a:ln>
        </xdr:spPr>
      </xdr:sp>
      <xdr:sp macro="" textlink="">
        <xdr:nvSpPr>
          <xdr:cNvPr id="4072" name="Line 8415">
            <a:extLst>
              <a:ext uri="{FF2B5EF4-FFF2-40B4-BE49-F238E27FC236}">
                <a16:creationId xmlns:a16="http://schemas.microsoft.com/office/drawing/2014/main" id="{00000000-0008-0000-0000-0000E80F0000}"/>
              </a:ext>
            </a:extLst>
          </xdr:cNvPr>
          <xdr:cNvSpPr>
            <a:spLocks noChangeShapeType="1"/>
          </xdr:cNvSpPr>
        </xdr:nvSpPr>
        <xdr:spPr bwMode="auto">
          <a:xfrm>
            <a:off x="769103" y="21089748"/>
            <a:ext cx="491252" cy="0"/>
          </a:xfrm>
          <a:prstGeom prst="line">
            <a:avLst/>
          </a:prstGeom>
          <a:noFill/>
          <a:ln w="9525">
            <a:solidFill>
              <a:srgbClr val="000000"/>
            </a:solidFill>
            <a:prstDash val="dash"/>
            <a:round/>
            <a:headEnd/>
            <a:tailEnd/>
          </a:ln>
        </xdr:spPr>
      </xdr:sp>
      <xdr:cxnSp macro="">
        <xdr:nvCxnSpPr>
          <xdr:cNvPr id="484" name="Straight Connector 483">
            <a:extLst>
              <a:ext uri="{FF2B5EF4-FFF2-40B4-BE49-F238E27FC236}">
                <a16:creationId xmlns:a16="http://schemas.microsoft.com/office/drawing/2014/main" id="{00000000-0008-0000-0000-0000E4010000}"/>
              </a:ext>
            </a:extLst>
          </xdr:cNvPr>
          <xdr:cNvCxnSpPr>
            <a:stCxn id="4070" idx="0"/>
          </xdr:cNvCxnSpPr>
        </xdr:nvCxnSpPr>
        <xdr:spPr>
          <a:xfrm rot="16200000" flipH="1">
            <a:off x="1531836" y="19596168"/>
            <a:ext cx="9539" cy="90247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074" name="Line 357">
            <a:extLst>
              <a:ext uri="{FF2B5EF4-FFF2-40B4-BE49-F238E27FC236}">
                <a16:creationId xmlns:a16="http://schemas.microsoft.com/office/drawing/2014/main" id="{00000000-0008-0000-0000-0000EA0F0000}"/>
              </a:ext>
            </a:extLst>
          </xdr:cNvPr>
          <xdr:cNvSpPr>
            <a:spLocks noChangeShapeType="1"/>
          </xdr:cNvSpPr>
        </xdr:nvSpPr>
        <xdr:spPr bwMode="auto">
          <a:xfrm flipH="1">
            <a:off x="1520651" y="20064579"/>
            <a:ext cx="55257" cy="40877"/>
          </a:xfrm>
          <a:prstGeom prst="line">
            <a:avLst/>
          </a:prstGeom>
          <a:noFill/>
          <a:ln w="9525">
            <a:solidFill>
              <a:srgbClr val="000000"/>
            </a:solidFill>
            <a:round/>
            <a:headEnd/>
            <a:tailEnd/>
          </a:ln>
        </xdr:spPr>
      </xdr:sp>
      <xdr:sp macro="" textlink="">
        <xdr:nvSpPr>
          <xdr:cNvPr id="4075" name="Line 358">
            <a:extLst>
              <a:ext uri="{FF2B5EF4-FFF2-40B4-BE49-F238E27FC236}">
                <a16:creationId xmlns:a16="http://schemas.microsoft.com/office/drawing/2014/main" id="{00000000-0008-0000-0000-0000EB0F0000}"/>
              </a:ext>
            </a:extLst>
          </xdr:cNvPr>
          <xdr:cNvSpPr>
            <a:spLocks noChangeShapeType="1"/>
          </xdr:cNvSpPr>
        </xdr:nvSpPr>
        <xdr:spPr bwMode="auto">
          <a:xfrm flipH="1">
            <a:off x="1548281" y="20064579"/>
            <a:ext cx="55257" cy="40877"/>
          </a:xfrm>
          <a:prstGeom prst="line">
            <a:avLst/>
          </a:prstGeom>
          <a:noFill/>
          <a:ln w="9525">
            <a:solidFill>
              <a:srgbClr val="000000"/>
            </a:solidFill>
            <a:round/>
            <a:headEnd/>
            <a:tailEnd/>
          </a:ln>
        </xdr:spPr>
      </xdr:sp>
      <xdr:sp macro="" textlink="">
        <xdr:nvSpPr>
          <xdr:cNvPr id="4076" name="Line 359">
            <a:extLst>
              <a:ext uri="{FF2B5EF4-FFF2-40B4-BE49-F238E27FC236}">
                <a16:creationId xmlns:a16="http://schemas.microsoft.com/office/drawing/2014/main" id="{00000000-0008-0000-0000-0000EC0F0000}"/>
              </a:ext>
            </a:extLst>
          </xdr:cNvPr>
          <xdr:cNvSpPr>
            <a:spLocks noChangeShapeType="1"/>
          </xdr:cNvSpPr>
        </xdr:nvSpPr>
        <xdr:spPr bwMode="auto">
          <a:xfrm flipH="1">
            <a:off x="1580513" y="20064579"/>
            <a:ext cx="55257" cy="40877"/>
          </a:xfrm>
          <a:prstGeom prst="line">
            <a:avLst/>
          </a:prstGeom>
          <a:noFill/>
          <a:ln w="9525">
            <a:solidFill>
              <a:srgbClr val="000000"/>
            </a:solidFill>
            <a:round/>
            <a:headEnd/>
            <a:tailEnd/>
          </a:ln>
        </xdr:spPr>
      </xdr:sp>
      <xdr:sp macro="" textlink="">
        <xdr:nvSpPr>
          <xdr:cNvPr id="4077" name="Line 360">
            <a:extLst>
              <a:ext uri="{FF2B5EF4-FFF2-40B4-BE49-F238E27FC236}">
                <a16:creationId xmlns:a16="http://schemas.microsoft.com/office/drawing/2014/main" id="{00000000-0008-0000-0000-0000ED0F0000}"/>
              </a:ext>
            </a:extLst>
          </xdr:cNvPr>
          <xdr:cNvSpPr>
            <a:spLocks noChangeShapeType="1"/>
          </xdr:cNvSpPr>
        </xdr:nvSpPr>
        <xdr:spPr bwMode="auto">
          <a:xfrm>
            <a:off x="1644979" y="20064579"/>
            <a:ext cx="50652" cy="47690"/>
          </a:xfrm>
          <a:prstGeom prst="line">
            <a:avLst/>
          </a:prstGeom>
          <a:noFill/>
          <a:ln w="9525">
            <a:solidFill>
              <a:srgbClr val="000000"/>
            </a:solidFill>
            <a:round/>
            <a:headEnd/>
            <a:tailEnd/>
          </a:ln>
        </xdr:spPr>
      </xdr:sp>
      <xdr:sp macro="" textlink="">
        <xdr:nvSpPr>
          <xdr:cNvPr id="4078" name="Line 361">
            <a:extLst>
              <a:ext uri="{FF2B5EF4-FFF2-40B4-BE49-F238E27FC236}">
                <a16:creationId xmlns:a16="http://schemas.microsoft.com/office/drawing/2014/main" id="{00000000-0008-0000-0000-0000EE0F0000}"/>
              </a:ext>
            </a:extLst>
          </xdr:cNvPr>
          <xdr:cNvSpPr>
            <a:spLocks noChangeShapeType="1"/>
          </xdr:cNvSpPr>
        </xdr:nvSpPr>
        <xdr:spPr bwMode="auto">
          <a:xfrm>
            <a:off x="1677212" y="20064579"/>
            <a:ext cx="46047" cy="47690"/>
          </a:xfrm>
          <a:prstGeom prst="line">
            <a:avLst/>
          </a:prstGeom>
          <a:noFill/>
          <a:ln w="9525">
            <a:solidFill>
              <a:srgbClr val="000000"/>
            </a:solidFill>
            <a:round/>
            <a:headEnd/>
            <a:tailEnd/>
          </a:ln>
        </xdr:spPr>
      </xdr:sp>
      <xdr:sp macro="" textlink="">
        <xdr:nvSpPr>
          <xdr:cNvPr id="4079" name="Line 362">
            <a:extLst>
              <a:ext uri="{FF2B5EF4-FFF2-40B4-BE49-F238E27FC236}">
                <a16:creationId xmlns:a16="http://schemas.microsoft.com/office/drawing/2014/main" id="{00000000-0008-0000-0000-0000EF0F0000}"/>
              </a:ext>
            </a:extLst>
          </xdr:cNvPr>
          <xdr:cNvSpPr>
            <a:spLocks noChangeShapeType="1"/>
          </xdr:cNvSpPr>
        </xdr:nvSpPr>
        <xdr:spPr bwMode="auto">
          <a:xfrm>
            <a:off x="1709445" y="20071392"/>
            <a:ext cx="46047" cy="47690"/>
          </a:xfrm>
          <a:prstGeom prst="line">
            <a:avLst/>
          </a:prstGeom>
          <a:noFill/>
          <a:ln w="9525">
            <a:solidFill>
              <a:srgbClr val="000000"/>
            </a:solidFill>
            <a:round/>
            <a:headEnd/>
            <a:tailEnd/>
          </a:ln>
        </xdr:spPr>
      </xdr:sp>
      <xdr:sp macro="" textlink="">
        <xdr:nvSpPr>
          <xdr:cNvPr id="4080" name="Line 8972">
            <a:extLst>
              <a:ext uri="{FF2B5EF4-FFF2-40B4-BE49-F238E27FC236}">
                <a16:creationId xmlns:a16="http://schemas.microsoft.com/office/drawing/2014/main" id="{00000000-0008-0000-0000-0000F00F0000}"/>
              </a:ext>
            </a:extLst>
          </xdr:cNvPr>
          <xdr:cNvSpPr>
            <a:spLocks noChangeShapeType="1"/>
          </xdr:cNvSpPr>
        </xdr:nvSpPr>
        <xdr:spPr bwMode="auto">
          <a:xfrm rot="16200000" flipH="1">
            <a:off x="1080754" y="19927716"/>
            <a:ext cx="211436" cy="0"/>
          </a:xfrm>
          <a:prstGeom prst="line">
            <a:avLst/>
          </a:prstGeom>
          <a:noFill/>
          <a:ln w="9525">
            <a:solidFill>
              <a:srgbClr val="000000"/>
            </a:solidFill>
            <a:round/>
            <a:headEnd/>
            <a:tailEnd type="arrow" w="med" len="med"/>
          </a:ln>
        </xdr:spPr>
      </xdr:sp>
      <xdr:sp macro="" textlink="">
        <xdr:nvSpPr>
          <xdr:cNvPr id="4081" name="Line 8973">
            <a:extLst>
              <a:ext uri="{FF2B5EF4-FFF2-40B4-BE49-F238E27FC236}">
                <a16:creationId xmlns:a16="http://schemas.microsoft.com/office/drawing/2014/main" id="{00000000-0008-0000-0000-0000F10F0000}"/>
              </a:ext>
            </a:extLst>
          </xdr:cNvPr>
          <xdr:cNvSpPr>
            <a:spLocks noChangeShapeType="1"/>
          </xdr:cNvSpPr>
        </xdr:nvSpPr>
        <xdr:spPr bwMode="auto">
          <a:xfrm rot="16200000" flipH="1">
            <a:off x="1180758" y="19927716"/>
            <a:ext cx="211436" cy="0"/>
          </a:xfrm>
          <a:prstGeom prst="line">
            <a:avLst/>
          </a:prstGeom>
          <a:noFill/>
          <a:ln w="9525">
            <a:solidFill>
              <a:srgbClr val="000000"/>
            </a:solidFill>
            <a:round/>
            <a:headEnd/>
            <a:tailEnd type="arrow" w="med" len="med"/>
          </a:ln>
        </xdr:spPr>
      </xdr:sp>
      <xdr:sp macro="" textlink="">
        <xdr:nvSpPr>
          <xdr:cNvPr id="4082" name="Line 8974">
            <a:extLst>
              <a:ext uri="{FF2B5EF4-FFF2-40B4-BE49-F238E27FC236}">
                <a16:creationId xmlns:a16="http://schemas.microsoft.com/office/drawing/2014/main" id="{00000000-0008-0000-0000-0000F20F0000}"/>
              </a:ext>
            </a:extLst>
          </xdr:cNvPr>
          <xdr:cNvSpPr>
            <a:spLocks noChangeShapeType="1"/>
          </xdr:cNvSpPr>
        </xdr:nvSpPr>
        <xdr:spPr bwMode="auto">
          <a:xfrm rot="16200000" flipH="1">
            <a:off x="1275872" y="19927716"/>
            <a:ext cx="211436" cy="0"/>
          </a:xfrm>
          <a:prstGeom prst="line">
            <a:avLst/>
          </a:prstGeom>
          <a:noFill/>
          <a:ln w="9525">
            <a:solidFill>
              <a:srgbClr val="000000"/>
            </a:solidFill>
            <a:round/>
            <a:headEnd/>
            <a:tailEnd type="arrow" w="med" len="med"/>
          </a:ln>
        </xdr:spPr>
      </xdr:sp>
      <xdr:sp macro="" textlink="">
        <xdr:nvSpPr>
          <xdr:cNvPr id="4083" name="Line 8975">
            <a:extLst>
              <a:ext uri="{FF2B5EF4-FFF2-40B4-BE49-F238E27FC236}">
                <a16:creationId xmlns:a16="http://schemas.microsoft.com/office/drawing/2014/main" id="{00000000-0008-0000-0000-0000F30F0000}"/>
              </a:ext>
            </a:extLst>
          </xdr:cNvPr>
          <xdr:cNvSpPr>
            <a:spLocks noChangeShapeType="1"/>
          </xdr:cNvSpPr>
        </xdr:nvSpPr>
        <xdr:spPr bwMode="auto">
          <a:xfrm rot="16200000" flipH="1">
            <a:off x="1377329" y="19923571"/>
            <a:ext cx="211436" cy="0"/>
          </a:xfrm>
          <a:prstGeom prst="line">
            <a:avLst/>
          </a:prstGeom>
          <a:noFill/>
          <a:ln w="9525">
            <a:solidFill>
              <a:srgbClr val="000000"/>
            </a:solidFill>
            <a:round/>
            <a:headEnd/>
            <a:tailEnd type="arrow" w="med" len="med"/>
          </a:ln>
        </xdr:spPr>
      </xdr:sp>
      <xdr:sp macro="" textlink="">
        <xdr:nvSpPr>
          <xdr:cNvPr id="4084" name="Line 8976">
            <a:extLst>
              <a:ext uri="{FF2B5EF4-FFF2-40B4-BE49-F238E27FC236}">
                <a16:creationId xmlns:a16="http://schemas.microsoft.com/office/drawing/2014/main" id="{00000000-0008-0000-0000-0000F40F0000}"/>
              </a:ext>
            </a:extLst>
          </xdr:cNvPr>
          <xdr:cNvSpPr>
            <a:spLocks noChangeShapeType="1"/>
          </xdr:cNvSpPr>
        </xdr:nvSpPr>
        <xdr:spPr bwMode="auto">
          <a:xfrm rot="16200000" flipH="1">
            <a:off x="1472441" y="19923571"/>
            <a:ext cx="211436" cy="0"/>
          </a:xfrm>
          <a:prstGeom prst="line">
            <a:avLst/>
          </a:prstGeom>
          <a:noFill/>
          <a:ln w="9525">
            <a:solidFill>
              <a:srgbClr val="000000"/>
            </a:solidFill>
            <a:round/>
            <a:headEnd/>
            <a:tailEnd type="arrow" w="med" len="med"/>
          </a:ln>
        </xdr:spPr>
      </xdr:sp>
      <xdr:sp macro="" textlink="">
        <xdr:nvSpPr>
          <xdr:cNvPr id="4085" name="Line 8977">
            <a:extLst>
              <a:ext uri="{FF2B5EF4-FFF2-40B4-BE49-F238E27FC236}">
                <a16:creationId xmlns:a16="http://schemas.microsoft.com/office/drawing/2014/main" id="{00000000-0008-0000-0000-0000F50F0000}"/>
              </a:ext>
            </a:extLst>
          </xdr:cNvPr>
          <xdr:cNvSpPr>
            <a:spLocks noChangeShapeType="1"/>
          </xdr:cNvSpPr>
        </xdr:nvSpPr>
        <xdr:spPr bwMode="auto">
          <a:xfrm rot="16200000" flipH="1">
            <a:off x="1573897" y="19923571"/>
            <a:ext cx="211436" cy="0"/>
          </a:xfrm>
          <a:prstGeom prst="line">
            <a:avLst/>
          </a:prstGeom>
          <a:noFill/>
          <a:ln w="9525">
            <a:solidFill>
              <a:srgbClr val="000000"/>
            </a:solidFill>
            <a:round/>
            <a:headEnd/>
            <a:tailEnd type="arrow" w="med" len="med"/>
          </a:ln>
        </xdr:spPr>
      </xdr:sp>
      <xdr:sp macro="" textlink="">
        <xdr:nvSpPr>
          <xdr:cNvPr id="4086" name="Line 8978">
            <a:extLst>
              <a:ext uri="{FF2B5EF4-FFF2-40B4-BE49-F238E27FC236}">
                <a16:creationId xmlns:a16="http://schemas.microsoft.com/office/drawing/2014/main" id="{00000000-0008-0000-0000-0000F60F0000}"/>
              </a:ext>
            </a:extLst>
          </xdr:cNvPr>
          <xdr:cNvSpPr>
            <a:spLocks noChangeShapeType="1"/>
          </xdr:cNvSpPr>
        </xdr:nvSpPr>
        <xdr:spPr bwMode="auto">
          <a:xfrm rot="16200000" flipH="1">
            <a:off x="1675352" y="19923571"/>
            <a:ext cx="211436" cy="0"/>
          </a:xfrm>
          <a:prstGeom prst="line">
            <a:avLst/>
          </a:prstGeom>
          <a:noFill/>
          <a:ln w="9525">
            <a:solidFill>
              <a:srgbClr val="000000"/>
            </a:solidFill>
            <a:round/>
            <a:headEnd/>
            <a:tailEnd type="arrow" w="med" len="med"/>
          </a:ln>
        </xdr:spPr>
      </xdr:sp>
      <xdr:sp macro="" textlink="">
        <xdr:nvSpPr>
          <xdr:cNvPr id="4087" name="Line 8979">
            <a:extLst>
              <a:ext uri="{FF2B5EF4-FFF2-40B4-BE49-F238E27FC236}">
                <a16:creationId xmlns:a16="http://schemas.microsoft.com/office/drawing/2014/main" id="{00000000-0008-0000-0000-0000F70F0000}"/>
              </a:ext>
            </a:extLst>
          </xdr:cNvPr>
          <xdr:cNvSpPr>
            <a:spLocks noChangeShapeType="1"/>
          </xdr:cNvSpPr>
        </xdr:nvSpPr>
        <xdr:spPr bwMode="auto">
          <a:xfrm rot="16200000" flipH="1">
            <a:off x="1774239" y="19923571"/>
            <a:ext cx="211436" cy="0"/>
          </a:xfrm>
          <a:prstGeom prst="line">
            <a:avLst/>
          </a:prstGeom>
          <a:noFill/>
          <a:ln w="9525">
            <a:solidFill>
              <a:srgbClr val="000000"/>
            </a:solidFill>
            <a:round/>
            <a:headEnd/>
            <a:tailEnd type="arrow" w="med" len="med"/>
          </a:ln>
        </xdr:spPr>
      </xdr:sp>
      <xdr:sp macro="" textlink="">
        <xdr:nvSpPr>
          <xdr:cNvPr id="4088" name="Line 8980">
            <a:extLst>
              <a:ext uri="{FF2B5EF4-FFF2-40B4-BE49-F238E27FC236}">
                <a16:creationId xmlns:a16="http://schemas.microsoft.com/office/drawing/2014/main" id="{00000000-0008-0000-0000-0000F80F0000}"/>
              </a:ext>
            </a:extLst>
          </xdr:cNvPr>
          <xdr:cNvSpPr>
            <a:spLocks noChangeShapeType="1"/>
          </xdr:cNvSpPr>
        </xdr:nvSpPr>
        <xdr:spPr bwMode="auto">
          <a:xfrm rot="16200000" flipH="1">
            <a:off x="1875695" y="19923571"/>
            <a:ext cx="211436" cy="0"/>
          </a:xfrm>
          <a:prstGeom prst="line">
            <a:avLst/>
          </a:prstGeom>
          <a:noFill/>
          <a:ln w="9525">
            <a:solidFill>
              <a:srgbClr val="000000"/>
            </a:solidFill>
            <a:round/>
            <a:headEnd/>
            <a:tailEnd type="arrow" w="med" len="med"/>
          </a:ln>
        </xdr:spPr>
      </xdr:sp>
      <xdr:sp macro="" textlink="">
        <xdr:nvSpPr>
          <xdr:cNvPr id="4089" name="Line 8981">
            <a:extLst>
              <a:ext uri="{FF2B5EF4-FFF2-40B4-BE49-F238E27FC236}">
                <a16:creationId xmlns:a16="http://schemas.microsoft.com/office/drawing/2014/main" id="{00000000-0008-0000-0000-0000F90F0000}"/>
              </a:ext>
            </a:extLst>
          </xdr:cNvPr>
          <xdr:cNvSpPr>
            <a:spLocks noChangeShapeType="1"/>
          </xdr:cNvSpPr>
        </xdr:nvSpPr>
        <xdr:spPr bwMode="auto">
          <a:xfrm rot="16200000" flipH="1">
            <a:off x="1977150" y="19923571"/>
            <a:ext cx="211436" cy="0"/>
          </a:xfrm>
          <a:prstGeom prst="line">
            <a:avLst/>
          </a:prstGeom>
          <a:noFill/>
          <a:ln w="9525">
            <a:solidFill>
              <a:srgbClr val="000000"/>
            </a:solidFill>
            <a:round/>
            <a:headEnd/>
            <a:tailEnd type="arrow" w="med" len="med"/>
          </a:ln>
        </xdr:spPr>
      </xdr:sp>
      <xdr:sp macro="" textlink="">
        <xdr:nvSpPr>
          <xdr:cNvPr id="4090" name="Line 8982">
            <a:extLst>
              <a:ext uri="{FF2B5EF4-FFF2-40B4-BE49-F238E27FC236}">
                <a16:creationId xmlns:a16="http://schemas.microsoft.com/office/drawing/2014/main" id="{00000000-0008-0000-0000-0000FA0F0000}"/>
              </a:ext>
            </a:extLst>
          </xdr:cNvPr>
          <xdr:cNvSpPr>
            <a:spLocks noChangeShapeType="1"/>
          </xdr:cNvSpPr>
        </xdr:nvSpPr>
        <xdr:spPr bwMode="auto">
          <a:xfrm rot="16200000" flipH="1">
            <a:off x="2072263" y="19919425"/>
            <a:ext cx="211436" cy="0"/>
          </a:xfrm>
          <a:prstGeom prst="line">
            <a:avLst/>
          </a:prstGeom>
          <a:noFill/>
          <a:ln w="9525">
            <a:solidFill>
              <a:srgbClr val="000000"/>
            </a:solidFill>
            <a:round/>
            <a:headEnd/>
            <a:tailEnd type="arrow" w="med" len="med"/>
          </a:ln>
        </xdr:spPr>
      </xdr:sp>
      <xdr:sp macro="" textlink="">
        <xdr:nvSpPr>
          <xdr:cNvPr id="4091" name="Line 8983">
            <a:extLst>
              <a:ext uri="{FF2B5EF4-FFF2-40B4-BE49-F238E27FC236}">
                <a16:creationId xmlns:a16="http://schemas.microsoft.com/office/drawing/2014/main" id="{00000000-0008-0000-0000-0000FB0F0000}"/>
              </a:ext>
            </a:extLst>
          </xdr:cNvPr>
          <xdr:cNvSpPr>
            <a:spLocks noChangeShapeType="1"/>
          </xdr:cNvSpPr>
        </xdr:nvSpPr>
        <xdr:spPr bwMode="auto">
          <a:xfrm rot="16200000" flipH="1">
            <a:off x="2173718" y="19923571"/>
            <a:ext cx="211436" cy="0"/>
          </a:xfrm>
          <a:prstGeom prst="line">
            <a:avLst/>
          </a:prstGeom>
          <a:noFill/>
          <a:ln w="9525">
            <a:solidFill>
              <a:srgbClr val="000000"/>
            </a:solidFill>
            <a:round/>
            <a:headEnd/>
            <a:tailEnd type="arrow" w="med" len="med"/>
          </a:ln>
        </xdr:spPr>
      </xdr:sp>
      <xdr:sp macro="" textlink="">
        <xdr:nvSpPr>
          <xdr:cNvPr id="4092" name="Line 8984">
            <a:extLst>
              <a:ext uri="{FF2B5EF4-FFF2-40B4-BE49-F238E27FC236}">
                <a16:creationId xmlns:a16="http://schemas.microsoft.com/office/drawing/2014/main" id="{00000000-0008-0000-0000-0000FC0F0000}"/>
              </a:ext>
            </a:extLst>
          </xdr:cNvPr>
          <xdr:cNvSpPr>
            <a:spLocks noChangeShapeType="1"/>
          </xdr:cNvSpPr>
        </xdr:nvSpPr>
        <xdr:spPr bwMode="auto">
          <a:xfrm rot="16200000" flipH="1">
            <a:off x="2281515" y="19923571"/>
            <a:ext cx="211436" cy="0"/>
          </a:xfrm>
          <a:prstGeom prst="line">
            <a:avLst/>
          </a:prstGeom>
          <a:noFill/>
          <a:ln w="9525">
            <a:solidFill>
              <a:srgbClr val="000000"/>
            </a:solidFill>
            <a:round/>
            <a:headEnd/>
            <a:tailEnd type="arrow" w="med" len="med"/>
          </a:ln>
        </xdr:spPr>
      </xdr:sp>
      <xdr:sp macro="" textlink="">
        <xdr:nvSpPr>
          <xdr:cNvPr id="511" name="Text Box 8517">
            <a:extLst>
              <a:ext uri="{FF2B5EF4-FFF2-40B4-BE49-F238E27FC236}">
                <a16:creationId xmlns:a16="http://schemas.microsoft.com/office/drawing/2014/main" id="{00000000-0008-0000-0000-0000FF010000}"/>
              </a:ext>
            </a:extLst>
          </xdr:cNvPr>
          <xdr:cNvSpPr txBox="1">
            <a:spLocks noChangeArrowheads="1"/>
          </xdr:cNvSpPr>
        </xdr:nvSpPr>
        <xdr:spPr bwMode="auto">
          <a:xfrm>
            <a:off x="2519828" y="20233409"/>
            <a:ext cx="959473" cy="30523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P</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r>
              <a:rPr lang="en-US" sz="900" b="0" i="0" strike="noStrike">
                <a:solidFill>
                  <a:srgbClr val="000000"/>
                </a:solidFill>
                <a:latin typeface="Calibri"/>
                <a:cs typeface="Calibri"/>
              </a:rPr>
              <a:t>ka </a:t>
            </a:r>
            <a:r>
              <a:rPr lang="en-US" sz="900" b="0" i="0" strike="noStrike">
                <a:solidFill>
                  <a:srgbClr val="000000"/>
                </a:solidFill>
                <a:latin typeface="Symbol"/>
              </a:rPr>
              <a:t>g</a:t>
            </a:r>
            <a:r>
              <a:rPr lang="en-US" sz="900" b="0" i="0" strike="noStrike" baseline="-25000">
                <a:solidFill>
                  <a:srgbClr val="000000"/>
                </a:solidFill>
                <a:latin typeface="Calibri"/>
                <a:cs typeface="Calibri"/>
              </a:rPr>
              <a:t>s</a:t>
            </a:r>
            <a:r>
              <a:rPr lang="en-US" sz="900" b="0" i="0" strike="noStrike">
                <a:solidFill>
                  <a:srgbClr val="000000"/>
                </a:solidFill>
                <a:latin typeface="Calibri"/>
                <a:cs typeface="Calibri"/>
              </a:rPr>
              <a:t> S</a:t>
            </a:r>
            <a:r>
              <a:rPr lang="en-US" sz="900" b="0" i="0" strike="noStrike" baseline="-25000">
                <a:solidFill>
                  <a:srgbClr val="000000"/>
                </a:solidFill>
                <a:latin typeface="Calibri"/>
                <a:cs typeface="Calibri"/>
              </a:rPr>
              <a:t>h </a:t>
            </a:r>
            <a:r>
              <a:rPr lang="en-US" sz="900" b="0" i="0" strike="noStrike" baseline="0">
                <a:solidFill>
                  <a:srgbClr val="000000"/>
                </a:solidFill>
                <a:latin typeface="Calibri"/>
                <a:cs typeface="Calibri"/>
              </a:rPr>
              <a:t>H</a:t>
            </a:r>
          </a:p>
        </xdr:txBody>
      </xdr:sp>
      <xdr:sp macro="" textlink="">
        <xdr:nvSpPr>
          <xdr:cNvPr id="552" name="Text Box 8517">
            <a:extLst>
              <a:ext uri="{FF2B5EF4-FFF2-40B4-BE49-F238E27FC236}">
                <a16:creationId xmlns:a16="http://schemas.microsoft.com/office/drawing/2014/main" id="{00000000-0008-0000-0000-000028020000}"/>
              </a:ext>
            </a:extLst>
          </xdr:cNvPr>
          <xdr:cNvSpPr txBox="1">
            <a:spLocks noChangeArrowheads="1"/>
          </xdr:cNvSpPr>
        </xdr:nvSpPr>
        <xdr:spPr bwMode="auto">
          <a:xfrm>
            <a:off x="2481829" y="20490954"/>
            <a:ext cx="265992" cy="238467"/>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P</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p>
        </xdr:txBody>
      </xdr:sp>
      <xdr:sp macro="" textlink="">
        <xdr:nvSpPr>
          <xdr:cNvPr id="553" name="Text Box 8517">
            <a:extLst>
              <a:ext uri="{FF2B5EF4-FFF2-40B4-BE49-F238E27FC236}">
                <a16:creationId xmlns:a16="http://schemas.microsoft.com/office/drawing/2014/main" id="{00000000-0008-0000-0000-000029020000}"/>
              </a:ext>
            </a:extLst>
          </xdr:cNvPr>
          <xdr:cNvSpPr txBox="1">
            <a:spLocks noChangeArrowheads="1"/>
          </xdr:cNvSpPr>
        </xdr:nvSpPr>
        <xdr:spPr bwMode="auto">
          <a:xfrm>
            <a:off x="3061312" y="20481415"/>
            <a:ext cx="370489" cy="190774"/>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endParaRPr lang="en-US" sz="900" b="0" i="0" strike="noStrike" baseline="30000">
              <a:solidFill>
                <a:srgbClr val="000000"/>
              </a:solidFill>
              <a:latin typeface="Calibri"/>
              <a:cs typeface="Calibri"/>
            </a:endParaRPr>
          </a:p>
        </xdr:txBody>
      </xdr:sp>
      <xdr:sp macro="" textlink="">
        <xdr:nvSpPr>
          <xdr:cNvPr id="554" name="Text Box 8510">
            <a:extLst>
              <a:ext uri="{FF2B5EF4-FFF2-40B4-BE49-F238E27FC236}">
                <a16:creationId xmlns:a16="http://schemas.microsoft.com/office/drawing/2014/main" id="{00000000-0008-0000-0000-00002A020000}"/>
              </a:ext>
            </a:extLst>
          </xdr:cNvPr>
          <xdr:cNvSpPr txBox="1">
            <a:spLocks noChangeArrowheads="1"/>
          </xdr:cNvSpPr>
        </xdr:nvSpPr>
        <xdr:spPr bwMode="auto">
          <a:xfrm>
            <a:off x="4229779" y="20710344"/>
            <a:ext cx="408488" cy="25754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  P</a:t>
            </a:r>
            <a:r>
              <a:rPr lang="en-US" sz="900" b="0" i="0" strike="noStrike" baseline="-25000">
                <a:solidFill>
                  <a:srgbClr val="000000"/>
                </a:solidFill>
                <a:latin typeface="Arial"/>
                <a:cs typeface="Arial"/>
              </a:rPr>
              <a:t>sp</a:t>
            </a:r>
            <a:r>
              <a:rPr lang="en-US" sz="900" b="0" i="0" strike="noStrike">
                <a:solidFill>
                  <a:srgbClr val="000000"/>
                </a:solidFill>
                <a:latin typeface="Arial"/>
                <a:cs typeface="Arial"/>
              </a:rPr>
              <a:t> = </a:t>
            </a:r>
            <a:endParaRPr lang="en-US" sz="900" b="0" i="0" strike="noStrike" baseline="30000">
              <a:solidFill>
                <a:srgbClr val="000000"/>
              </a:solidFill>
              <a:latin typeface="Arial"/>
              <a:cs typeface="Arial"/>
            </a:endParaRPr>
          </a:p>
        </xdr:txBody>
      </xdr:sp>
      <xdr:sp macro="" textlink="">
        <xdr:nvSpPr>
          <xdr:cNvPr id="555" name="Text Box 8517">
            <a:extLst>
              <a:ext uri="{FF2B5EF4-FFF2-40B4-BE49-F238E27FC236}">
                <a16:creationId xmlns:a16="http://schemas.microsoft.com/office/drawing/2014/main" id="{00000000-0008-0000-0000-00002B020000}"/>
              </a:ext>
            </a:extLst>
          </xdr:cNvPr>
          <xdr:cNvSpPr txBox="1">
            <a:spLocks noChangeArrowheads="1"/>
          </xdr:cNvSpPr>
        </xdr:nvSpPr>
        <xdr:spPr bwMode="auto">
          <a:xfrm>
            <a:off x="4856761" y="20681727"/>
            <a:ext cx="493986" cy="276622"/>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endParaRPr lang="en-US" sz="900" b="0" i="0" strike="noStrike" baseline="30000">
              <a:solidFill>
                <a:srgbClr val="000000"/>
              </a:solidFill>
              <a:latin typeface="Calibri"/>
              <a:cs typeface="Calibri"/>
            </a:endParaRPr>
          </a:p>
        </xdr:txBody>
      </xdr:sp>
      <xdr:cxnSp macro="">
        <xdr:nvCxnSpPr>
          <xdr:cNvPr id="841" name="Straight Connector 840">
            <a:extLst>
              <a:ext uri="{FF2B5EF4-FFF2-40B4-BE49-F238E27FC236}">
                <a16:creationId xmlns:a16="http://schemas.microsoft.com/office/drawing/2014/main" id="{00000000-0008-0000-0000-000049030000}"/>
              </a:ext>
            </a:extLst>
          </xdr:cNvPr>
          <xdr:cNvCxnSpPr/>
        </xdr:nvCxnSpPr>
        <xdr:spPr>
          <a:xfrm rot="5400000">
            <a:off x="3820317" y="21110968"/>
            <a:ext cx="476934" cy="0"/>
          </a:xfrm>
          <a:prstGeom prst="line">
            <a:avLst/>
          </a:prstGeom>
          <a:ln w="19050">
            <a:headEnd type="oval" w="med" len="med"/>
            <a:tailEnd type="oval" w="med" len="med"/>
          </a:ln>
        </xdr:spPr>
        <xdr:style>
          <a:lnRef idx="1">
            <a:schemeClr val="dk1"/>
          </a:lnRef>
          <a:fillRef idx="0">
            <a:schemeClr val="dk1"/>
          </a:fillRef>
          <a:effectRef idx="0">
            <a:schemeClr val="dk1"/>
          </a:effectRef>
          <a:fontRef idx="minor">
            <a:schemeClr val="tx1"/>
          </a:fontRef>
        </xdr:style>
      </xdr:cxnSp>
      <xdr:sp macro="" textlink="">
        <xdr:nvSpPr>
          <xdr:cNvPr id="842" name="Text Box 8517">
            <a:extLst>
              <a:ext uri="{FF2B5EF4-FFF2-40B4-BE49-F238E27FC236}">
                <a16:creationId xmlns:a16="http://schemas.microsoft.com/office/drawing/2014/main" id="{00000000-0008-0000-0000-00004A030000}"/>
              </a:ext>
            </a:extLst>
          </xdr:cNvPr>
          <xdr:cNvSpPr txBox="1">
            <a:spLocks noChangeArrowheads="1"/>
          </xdr:cNvSpPr>
        </xdr:nvSpPr>
        <xdr:spPr bwMode="auto">
          <a:xfrm>
            <a:off x="2538827" y="21091891"/>
            <a:ext cx="379989" cy="295699"/>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M</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p>
        </xdr:txBody>
      </xdr:sp>
      <xdr:sp macro="" textlink="">
        <xdr:nvSpPr>
          <xdr:cNvPr id="843" name="Text Box 8517">
            <a:extLst>
              <a:ext uri="{FF2B5EF4-FFF2-40B4-BE49-F238E27FC236}">
                <a16:creationId xmlns:a16="http://schemas.microsoft.com/office/drawing/2014/main" id="{00000000-0008-0000-0000-00004B030000}"/>
              </a:ext>
            </a:extLst>
          </xdr:cNvPr>
          <xdr:cNvSpPr txBox="1">
            <a:spLocks noChangeArrowheads="1"/>
          </xdr:cNvSpPr>
        </xdr:nvSpPr>
        <xdr:spPr bwMode="auto">
          <a:xfrm>
            <a:off x="3051813" y="21254049"/>
            <a:ext cx="332491" cy="209851"/>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endParaRPr lang="en-US" sz="900" b="0" i="0" strike="noStrike" baseline="30000">
              <a:solidFill>
                <a:srgbClr val="000000"/>
              </a:solidFill>
              <a:latin typeface="Calibri"/>
              <a:cs typeface="Calibri"/>
            </a:endParaRPr>
          </a:p>
        </xdr:txBody>
      </xdr:sp>
      <xdr:sp macro="" textlink="">
        <xdr:nvSpPr>
          <xdr:cNvPr id="844" name="Text Box 8517">
            <a:extLst>
              <a:ext uri="{FF2B5EF4-FFF2-40B4-BE49-F238E27FC236}">
                <a16:creationId xmlns:a16="http://schemas.microsoft.com/office/drawing/2014/main" id="{00000000-0008-0000-0000-00004C030000}"/>
              </a:ext>
            </a:extLst>
          </xdr:cNvPr>
          <xdr:cNvSpPr txBox="1">
            <a:spLocks noChangeArrowheads="1"/>
          </xdr:cNvSpPr>
        </xdr:nvSpPr>
        <xdr:spPr bwMode="auto">
          <a:xfrm>
            <a:off x="4182280" y="21063275"/>
            <a:ext cx="379989" cy="30523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M</a:t>
            </a:r>
            <a:r>
              <a:rPr lang="en-US" sz="900" b="0" i="0" strike="noStrike" baseline="-25000">
                <a:solidFill>
                  <a:srgbClr val="000000"/>
                </a:solidFill>
                <a:latin typeface="Calibri"/>
                <a:cs typeface="Calibri"/>
              </a:rPr>
              <a:t>sp</a:t>
            </a:r>
            <a:r>
              <a:rPr lang="en-US" sz="900" b="0" i="0" strike="noStrike" baseline="0">
                <a:solidFill>
                  <a:srgbClr val="000000"/>
                </a:solidFill>
                <a:latin typeface="Calibri"/>
                <a:cs typeface="Calibri"/>
              </a:rPr>
              <a:t> = </a:t>
            </a:r>
          </a:p>
        </xdr:txBody>
      </xdr:sp>
      <xdr:sp macro="" textlink="">
        <xdr:nvSpPr>
          <xdr:cNvPr id="845" name="Text Box 8517">
            <a:extLst>
              <a:ext uri="{FF2B5EF4-FFF2-40B4-BE49-F238E27FC236}">
                <a16:creationId xmlns:a16="http://schemas.microsoft.com/office/drawing/2014/main" id="{00000000-0008-0000-0000-00004D030000}"/>
              </a:ext>
            </a:extLst>
          </xdr:cNvPr>
          <xdr:cNvSpPr txBox="1">
            <a:spLocks noChangeArrowheads="1"/>
          </xdr:cNvSpPr>
        </xdr:nvSpPr>
        <xdr:spPr bwMode="auto">
          <a:xfrm>
            <a:off x="4866261" y="21063275"/>
            <a:ext cx="332491" cy="209851"/>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endParaRPr lang="en-US" sz="900" b="0" i="0" strike="noStrike" baseline="30000">
              <a:solidFill>
                <a:srgbClr val="000000"/>
              </a:solidFill>
              <a:latin typeface="Calibri"/>
              <a:cs typeface="Calibri"/>
            </a:endParaRPr>
          </a:p>
        </xdr:txBody>
      </xdr:sp>
      <xdr:sp macro="" textlink="">
        <xdr:nvSpPr>
          <xdr:cNvPr id="1011" name="Text Box 8517">
            <a:extLst>
              <a:ext uri="{FF2B5EF4-FFF2-40B4-BE49-F238E27FC236}">
                <a16:creationId xmlns:a16="http://schemas.microsoft.com/office/drawing/2014/main" id="{00000000-0008-0000-0000-0000F3030000}"/>
              </a:ext>
            </a:extLst>
          </xdr:cNvPr>
          <xdr:cNvSpPr txBox="1">
            <a:spLocks noChangeArrowheads="1"/>
          </xdr:cNvSpPr>
        </xdr:nvSpPr>
        <xdr:spPr bwMode="auto">
          <a:xfrm>
            <a:off x="1484357" y="20872501"/>
            <a:ext cx="569984" cy="24800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Lever Arm</a:t>
            </a:r>
          </a:p>
        </xdr:txBody>
      </xdr:sp>
      <xdr:sp macro="" textlink="">
        <xdr:nvSpPr>
          <xdr:cNvPr id="1012" name="Text Box 8517">
            <a:extLst>
              <a:ext uri="{FF2B5EF4-FFF2-40B4-BE49-F238E27FC236}">
                <a16:creationId xmlns:a16="http://schemas.microsoft.com/office/drawing/2014/main" id="{00000000-0008-0000-0000-0000F4030000}"/>
              </a:ext>
            </a:extLst>
          </xdr:cNvPr>
          <xdr:cNvSpPr txBox="1">
            <a:spLocks noChangeArrowheads="1"/>
          </xdr:cNvSpPr>
        </xdr:nvSpPr>
        <xdr:spPr bwMode="auto">
          <a:xfrm>
            <a:off x="3555298" y="20920195"/>
            <a:ext cx="560484" cy="24800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Lever Arm</a:t>
            </a:r>
          </a:p>
        </xdr:txBody>
      </xdr:sp>
      <xdr:cxnSp macro="">
        <xdr:nvCxnSpPr>
          <xdr:cNvPr id="1016" name="Straight Arrow Connector 1015">
            <a:extLst>
              <a:ext uri="{FF2B5EF4-FFF2-40B4-BE49-F238E27FC236}">
                <a16:creationId xmlns:a16="http://schemas.microsoft.com/office/drawing/2014/main" id="{00000000-0008-0000-0000-0000F8030000}"/>
              </a:ext>
            </a:extLst>
          </xdr:cNvPr>
          <xdr:cNvCxnSpPr/>
        </xdr:nvCxnSpPr>
        <xdr:spPr>
          <a:xfrm flipV="1">
            <a:off x="1854847" y="20958349"/>
            <a:ext cx="531985" cy="95387"/>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9525</xdr:colOff>
      <xdr:row>162</xdr:row>
      <xdr:rowOff>171450</xdr:rowOff>
    </xdr:from>
    <xdr:to>
      <xdr:col>8</xdr:col>
      <xdr:colOff>142875</xdr:colOff>
      <xdr:row>170</xdr:row>
      <xdr:rowOff>142875</xdr:rowOff>
    </xdr:to>
    <xdr:grpSp>
      <xdr:nvGrpSpPr>
        <xdr:cNvPr id="3090" name="Group 1300">
          <a:extLst>
            <a:ext uri="{FF2B5EF4-FFF2-40B4-BE49-F238E27FC236}">
              <a16:creationId xmlns:a16="http://schemas.microsoft.com/office/drawing/2014/main" id="{00000000-0008-0000-0000-0000120C0000}"/>
            </a:ext>
          </a:extLst>
        </xdr:cNvPr>
        <xdr:cNvGrpSpPr>
          <a:grpSpLocks/>
        </xdr:cNvGrpSpPr>
      </xdr:nvGrpSpPr>
      <xdr:grpSpPr bwMode="auto">
        <a:xfrm>
          <a:off x="619125" y="32594550"/>
          <a:ext cx="4476750" cy="1495425"/>
          <a:chOff x="475256" y="23206835"/>
          <a:chExt cx="4585437" cy="1494804"/>
        </a:xfrm>
      </xdr:grpSpPr>
      <xdr:sp macro="" textlink="">
        <xdr:nvSpPr>
          <xdr:cNvPr id="3922" name="Line 279">
            <a:extLst>
              <a:ext uri="{FF2B5EF4-FFF2-40B4-BE49-F238E27FC236}">
                <a16:creationId xmlns:a16="http://schemas.microsoft.com/office/drawing/2014/main" id="{00000000-0008-0000-0000-0000520F0000}"/>
              </a:ext>
            </a:extLst>
          </xdr:cNvPr>
          <xdr:cNvSpPr>
            <a:spLocks noChangeShapeType="1"/>
          </xdr:cNvSpPr>
        </xdr:nvSpPr>
        <xdr:spPr bwMode="auto">
          <a:xfrm flipH="1">
            <a:off x="569213" y="24272562"/>
            <a:ext cx="632502" cy="137751"/>
          </a:xfrm>
          <a:prstGeom prst="line">
            <a:avLst/>
          </a:prstGeom>
          <a:noFill/>
          <a:ln w="9525">
            <a:solidFill>
              <a:srgbClr val="000000"/>
            </a:solidFill>
            <a:prstDash val="dash"/>
            <a:round/>
            <a:headEnd/>
            <a:tailEnd/>
          </a:ln>
        </xdr:spPr>
      </xdr:sp>
      <xdr:sp macro="" textlink="">
        <xdr:nvSpPr>
          <xdr:cNvPr id="3923" name="Line 280">
            <a:extLst>
              <a:ext uri="{FF2B5EF4-FFF2-40B4-BE49-F238E27FC236}">
                <a16:creationId xmlns:a16="http://schemas.microsoft.com/office/drawing/2014/main" id="{00000000-0008-0000-0000-0000530F0000}"/>
              </a:ext>
            </a:extLst>
          </xdr:cNvPr>
          <xdr:cNvSpPr>
            <a:spLocks noChangeShapeType="1"/>
          </xdr:cNvSpPr>
        </xdr:nvSpPr>
        <xdr:spPr bwMode="auto">
          <a:xfrm>
            <a:off x="1730174" y="24262358"/>
            <a:ext cx="616133" cy="142853"/>
          </a:xfrm>
          <a:prstGeom prst="line">
            <a:avLst/>
          </a:prstGeom>
          <a:noFill/>
          <a:ln w="9525">
            <a:solidFill>
              <a:srgbClr val="000000"/>
            </a:solidFill>
            <a:prstDash val="dash"/>
            <a:round/>
            <a:headEnd/>
            <a:tailEnd/>
          </a:ln>
        </xdr:spPr>
      </xdr:sp>
      <xdr:sp macro="" textlink="">
        <xdr:nvSpPr>
          <xdr:cNvPr id="3924" name="Text Box 282">
            <a:extLst>
              <a:ext uri="{FF2B5EF4-FFF2-40B4-BE49-F238E27FC236}">
                <a16:creationId xmlns:a16="http://schemas.microsoft.com/office/drawing/2014/main" id="{00000000-0008-0000-0000-0000540F0000}"/>
              </a:ext>
            </a:extLst>
          </xdr:cNvPr>
          <xdr:cNvSpPr txBox="1">
            <a:spLocks noChangeArrowheads="1"/>
          </xdr:cNvSpPr>
        </xdr:nvSpPr>
        <xdr:spPr bwMode="auto">
          <a:xfrm>
            <a:off x="1423528" y="23696046"/>
            <a:ext cx="142372" cy="96936"/>
          </a:xfrm>
          <a:prstGeom prst="rect">
            <a:avLst/>
          </a:prstGeom>
          <a:noFill/>
          <a:ln w="9525">
            <a:noFill/>
            <a:miter lim="800000"/>
            <a:headEnd/>
            <a:tailEnd/>
          </a:ln>
        </xdr:spPr>
      </xdr:sp>
      <xdr:sp macro="" textlink="">
        <xdr:nvSpPr>
          <xdr:cNvPr id="3925" name="Text Box 283">
            <a:extLst>
              <a:ext uri="{FF2B5EF4-FFF2-40B4-BE49-F238E27FC236}">
                <a16:creationId xmlns:a16="http://schemas.microsoft.com/office/drawing/2014/main" id="{00000000-0008-0000-0000-0000550F0000}"/>
              </a:ext>
            </a:extLst>
          </xdr:cNvPr>
          <xdr:cNvSpPr txBox="1">
            <a:spLocks noChangeArrowheads="1"/>
          </xdr:cNvSpPr>
        </xdr:nvSpPr>
        <xdr:spPr bwMode="auto">
          <a:xfrm>
            <a:off x="1543996" y="23833798"/>
            <a:ext cx="120469" cy="132649"/>
          </a:xfrm>
          <a:prstGeom prst="rect">
            <a:avLst/>
          </a:prstGeom>
          <a:noFill/>
          <a:ln w="9525">
            <a:noFill/>
            <a:miter lim="800000"/>
            <a:headEnd/>
            <a:tailEnd/>
          </a:ln>
        </xdr:spPr>
      </xdr:sp>
      <xdr:sp macro="" textlink="">
        <xdr:nvSpPr>
          <xdr:cNvPr id="3926" name="Text Box 284">
            <a:extLst>
              <a:ext uri="{FF2B5EF4-FFF2-40B4-BE49-F238E27FC236}">
                <a16:creationId xmlns:a16="http://schemas.microsoft.com/office/drawing/2014/main" id="{00000000-0008-0000-0000-0000560F0000}"/>
              </a:ext>
            </a:extLst>
          </xdr:cNvPr>
          <xdr:cNvSpPr txBox="1">
            <a:spLocks noChangeArrowheads="1"/>
          </xdr:cNvSpPr>
        </xdr:nvSpPr>
        <xdr:spPr bwMode="auto">
          <a:xfrm>
            <a:off x="1292107" y="23838900"/>
            <a:ext cx="125944" cy="137751"/>
          </a:xfrm>
          <a:prstGeom prst="rect">
            <a:avLst/>
          </a:prstGeom>
          <a:noFill/>
          <a:ln w="9525">
            <a:noFill/>
            <a:miter lim="800000"/>
            <a:headEnd/>
            <a:tailEnd/>
          </a:ln>
        </xdr:spPr>
      </xdr:sp>
      <xdr:sp macro="" textlink="">
        <xdr:nvSpPr>
          <xdr:cNvPr id="3927" name="Line 356">
            <a:extLst>
              <a:ext uri="{FF2B5EF4-FFF2-40B4-BE49-F238E27FC236}">
                <a16:creationId xmlns:a16="http://schemas.microsoft.com/office/drawing/2014/main" id="{00000000-0008-0000-0000-0000570F0000}"/>
              </a:ext>
            </a:extLst>
          </xdr:cNvPr>
          <xdr:cNvSpPr>
            <a:spLocks noChangeShapeType="1"/>
          </xdr:cNvSpPr>
        </xdr:nvSpPr>
        <xdr:spPr bwMode="auto">
          <a:xfrm flipH="1">
            <a:off x="503502" y="23986855"/>
            <a:ext cx="1971531" cy="0"/>
          </a:xfrm>
          <a:prstGeom prst="line">
            <a:avLst/>
          </a:prstGeom>
          <a:noFill/>
          <a:ln w="9525">
            <a:solidFill>
              <a:srgbClr val="000000"/>
            </a:solidFill>
            <a:round/>
            <a:headEnd/>
            <a:tailEnd/>
          </a:ln>
        </xdr:spPr>
      </xdr:sp>
      <xdr:sp macro="" textlink="">
        <xdr:nvSpPr>
          <xdr:cNvPr id="3928" name="Line 357">
            <a:extLst>
              <a:ext uri="{FF2B5EF4-FFF2-40B4-BE49-F238E27FC236}">
                <a16:creationId xmlns:a16="http://schemas.microsoft.com/office/drawing/2014/main" id="{00000000-0008-0000-0000-0000580F0000}"/>
              </a:ext>
            </a:extLst>
          </xdr:cNvPr>
          <xdr:cNvSpPr>
            <a:spLocks noChangeShapeType="1"/>
          </xdr:cNvSpPr>
        </xdr:nvSpPr>
        <xdr:spPr bwMode="auto">
          <a:xfrm flipH="1">
            <a:off x="665080" y="23986855"/>
            <a:ext cx="60234" cy="35713"/>
          </a:xfrm>
          <a:prstGeom prst="line">
            <a:avLst/>
          </a:prstGeom>
          <a:noFill/>
          <a:ln w="9525">
            <a:solidFill>
              <a:srgbClr val="000000"/>
            </a:solidFill>
            <a:round/>
            <a:headEnd/>
            <a:tailEnd/>
          </a:ln>
        </xdr:spPr>
      </xdr:sp>
      <xdr:sp macro="" textlink="">
        <xdr:nvSpPr>
          <xdr:cNvPr id="3929" name="Line 358">
            <a:extLst>
              <a:ext uri="{FF2B5EF4-FFF2-40B4-BE49-F238E27FC236}">
                <a16:creationId xmlns:a16="http://schemas.microsoft.com/office/drawing/2014/main" id="{00000000-0008-0000-0000-0000590F0000}"/>
              </a:ext>
            </a:extLst>
          </xdr:cNvPr>
          <xdr:cNvSpPr>
            <a:spLocks noChangeShapeType="1"/>
          </xdr:cNvSpPr>
        </xdr:nvSpPr>
        <xdr:spPr bwMode="auto">
          <a:xfrm flipH="1">
            <a:off x="697936" y="23986855"/>
            <a:ext cx="60234" cy="35713"/>
          </a:xfrm>
          <a:prstGeom prst="line">
            <a:avLst/>
          </a:prstGeom>
          <a:noFill/>
          <a:ln w="9525">
            <a:solidFill>
              <a:srgbClr val="000000"/>
            </a:solidFill>
            <a:round/>
            <a:headEnd/>
            <a:tailEnd/>
          </a:ln>
        </xdr:spPr>
      </xdr:sp>
      <xdr:sp macro="" textlink="">
        <xdr:nvSpPr>
          <xdr:cNvPr id="3930" name="Line 359">
            <a:extLst>
              <a:ext uri="{FF2B5EF4-FFF2-40B4-BE49-F238E27FC236}">
                <a16:creationId xmlns:a16="http://schemas.microsoft.com/office/drawing/2014/main" id="{00000000-0008-0000-0000-00005A0F0000}"/>
              </a:ext>
            </a:extLst>
          </xdr:cNvPr>
          <xdr:cNvSpPr>
            <a:spLocks noChangeShapeType="1"/>
          </xdr:cNvSpPr>
        </xdr:nvSpPr>
        <xdr:spPr bwMode="auto">
          <a:xfrm flipH="1">
            <a:off x="730791" y="23986855"/>
            <a:ext cx="60234" cy="35713"/>
          </a:xfrm>
          <a:prstGeom prst="line">
            <a:avLst/>
          </a:prstGeom>
          <a:noFill/>
          <a:ln w="9525">
            <a:solidFill>
              <a:srgbClr val="000000"/>
            </a:solidFill>
            <a:round/>
            <a:headEnd/>
            <a:tailEnd/>
          </a:ln>
        </xdr:spPr>
      </xdr:sp>
      <xdr:sp macro="" textlink="">
        <xdr:nvSpPr>
          <xdr:cNvPr id="3931" name="Line 360">
            <a:extLst>
              <a:ext uri="{FF2B5EF4-FFF2-40B4-BE49-F238E27FC236}">
                <a16:creationId xmlns:a16="http://schemas.microsoft.com/office/drawing/2014/main" id="{00000000-0008-0000-0000-00005B0F0000}"/>
              </a:ext>
            </a:extLst>
          </xdr:cNvPr>
          <xdr:cNvSpPr>
            <a:spLocks noChangeShapeType="1"/>
          </xdr:cNvSpPr>
        </xdr:nvSpPr>
        <xdr:spPr bwMode="auto">
          <a:xfrm>
            <a:off x="801977" y="23986855"/>
            <a:ext cx="49283" cy="40815"/>
          </a:xfrm>
          <a:prstGeom prst="line">
            <a:avLst/>
          </a:prstGeom>
          <a:noFill/>
          <a:ln w="9525">
            <a:solidFill>
              <a:srgbClr val="000000"/>
            </a:solidFill>
            <a:round/>
            <a:headEnd/>
            <a:tailEnd/>
          </a:ln>
        </xdr:spPr>
      </xdr:sp>
      <xdr:sp macro="" textlink="">
        <xdr:nvSpPr>
          <xdr:cNvPr id="3932" name="Line 361">
            <a:extLst>
              <a:ext uri="{FF2B5EF4-FFF2-40B4-BE49-F238E27FC236}">
                <a16:creationId xmlns:a16="http://schemas.microsoft.com/office/drawing/2014/main" id="{00000000-0008-0000-0000-00005C0F0000}"/>
              </a:ext>
            </a:extLst>
          </xdr:cNvPr>
          <xdr:cNvSpPr>
            <a:spLocks noChangeShapeType="1"/>
          </xdr:cNvSpPr>
        </xdr:nvSpPr>
        <xdr:spPr bwMode="auto">
          <a:xfrm>
            <a:off x="834832" y="23986855"/>
            <a:ext cx="49283" cy="40815"/>
          </a:xfrm>
          <a:prstGeom prst="line">
            <a:avLst/>
          </a:prstGeom>
          <a:noFill/>
          <a:ln w="9525">
            <a:solidFill>
              <a:srgbClr val="000000"/>
            </a:solidFill>
            <a:round/>
            <a:headEnd/>
            <a:tailEnd/>
          </a:ln>
        </xdr:spPr>
      </xdr:sp>
      <xdr:sp macro="" textlink="">
        <xdr:nvSpPr>
          <xdr:cNvPr id="3933" name="Line 362">
            <a:extLst>
              <a:ext uri="{FF2B5EF4-FFF2-40B4-BE49-F238E27FC236}">
                <a16:creationId xmlns:a16="http://schemas.microsoft.com/office/drawing/2014/main" id="{00000000-0008-0000-0000-00005D0F0000}"/>
              </a:ext>
            </a:extLst>
          </xdr:cNvPr>
          <xdr:cNvSpPr>
            <a:spLocks noChangeShapeType="1"/>
          </xdr:cNvSpPr>
        </xdr:nvSpPr>
        <xdr:spPr bwMode="auto">
          <a:xfrm>
            <a:off x="867687" y="23991957"/>
            <a:ext cx="49283" cy="40815"/>
          </a:xfrm>
          <a:prstGeom prst="line">
            <a:avLst/>
          </a:prstGeom>
          <a:noFill/>
          <a:ln w="9525">
            <a:solidFill>
              <a:srgbClr val="000000"/>
            </a:solidFill>
            <a:round/>
            <a:headEnd/>
            <a:tailEnd/>
          </a:ln>
        </xdr:spPr>
      </xdr:sp>
      <xdr:sp macro="" textlink="">
        <xdr:nvSpPr>
          <xdr:cNvPr id="3934" name="Text Box 389">
            <a:extLst>
              <a:ext uri="{FF2B5EF4-FFF2-40B4-BE49-F238E27FC236}">
                <a16:creationId xmlns:a16="http://schemas.microsoft.com/office/drawing/2014/main" id="{00000000-0008-0000-0000-00005E0F0000}"/>
              </a:ext>
            </a:extLst>
          </xdr:cNvPr>
          <xdr:cNvSpPr txBox="1">
            <a:spLocks noChangeArrowheads="1"/>
          </xdr:cNvSpPr>
        </xdr:nvSpPr>
        <xdr:spPr bwMode="auto">
          <a:xfrm>
            <a:off x="2617405" y="23690944"/>
            <a:ext cx="87613" cy="81631"/>
          </a:xfrm>
          <a:prstGeom prst="rect">
            <a:avLst/>
          </a:prstGeom>
          <a:noFill/>
          <a:ln w="9525">
            <a:noFill/>
            <a:miter lim="800000"/>
            <a:headEnd/>
            <a:tailEnd/>
          </a:ln>
        </xdr:spPr>
      </xdr:sp>
      <xdr:sp macro="" textlink="">
        <xdr:nvSpPr>
          <xdr:cNvPr id="3935" name="Line 347">
            <a:extLst>
              <a:ext uri="{FF2B5EF4-FFF2-40B4-BE49-F238E27FC236}">
                <a16:creationId xmlns:a16="http://schemas.microsoft.com/office/drawing/2014/main" id="{00000000-0008-0000-0000-00005F0F0000}"/>
              </a:ext>
            </a:extLst>
          </xdr:cNvPr>
          <xdr:cNvSpPr>
            <a:spLocks noChangeShapeType="1"/>
          </xdr:cNvSpPr>
        </xdr:nvSpPr>
        <xdr:spPr bwMode="auto">
          <a:xfrm>
            <a:off x="563736" y="24507249"/>
            <a:ext cx="1782573" cy="0"/>
          </a:xfrm>
          <a:prstGeom prst="line">
            <a:avLst/>
          </a:prstGeom>
          <a:noFill/>
          <a:ln w="9525">
            <a:solidFill>
              <a:srgbClr val="000000"/>
            </a:solidFill>
            <a:prstDash val="dash"/>
            <a:round/>
            <a:headEnd/>
            <a:tailEnd/>
          </a:ln>
        </xdr:spPr>
      </xdr:sp>
      <xdr:sp macro="" textlink="">
        <xdr:nvSpPr>
          <xdr:cNvPr id="3936" name="Line 348">
            <a:extLst>
              <a:ext uri="{FF2B5EF4-FFF2-40B4-BE49-F238E27FC236}">
                <a16:creationId xmlns:a16="http://schemas.microsoft.com/office/drawing/2014/main" id="{00000000-0008-0000-0000-0000600F0000}"/>
              </a:ext>
            </a:extLst>
          </xdr:cNvPr>
          <xdr:cNvSpPr>
            <a:spLocks noChangeShapeType="1"/>
          </xdr:cNvSpPr>
        </xdr:nvSpPr>
        <xdr:spPr bwMode="auto">
          <a:xfrm flipH="1">
            <a:off x="563736" y="24415415"/>
            <a:ext cx="0" cy="96936"/>
          </a:xfrm>
          <a:prstGeom prst="line">
            <a:avLst/>
          </a:prstGeom>
          <a:noFill/>
          <a:ln w="9525">
            <a:solidFill>
              <a:srgbClr val="000000"/>
            </a:solidFill>
            <a:prstDash val="dash"/>
            <a:round/>
            <a:headEnd/>
            <a:tailEnd/>
          </a:ln>
        </xdr:spPr>
      </xdr:sp>
      <xdr:sp macro="" textlink="">
        <xdr:nvSpPr>
          <xdr:cNvPr id="3937" name="Line 349">
            <a:extLst>
              <a:ext uri="{FF2B5EF4-FFF2-40B4-BE49-F238E27FC236}">
                <a16:creationId xmlns:a16="http://schemas.microsoft.com/office/drawing/2014/main" id="{00000000-0008-0000-0000-0000610F0000}"/>
              </a:ext>
            </a:extLst>
          </xdr:cNvPr>
          <xdr:cNvSpPr>
            <a:spLocks noChangeShapeType="1"/>
          </xdr:cNvSpPr>
        </xdr:nvSpPr>
        <xdr:spPr bwMode="auto">
          <a:xfrm flipH="1">
            <a:off x="2346308" y="24410313"/>
            <a:ext cx="0" cy="91834"/>
          </a:xfrm>
          <a:prstGeom prst="line">
            <a:avLst/>
          </a:prstGeom>
          <a:noFill/>
          <a:ln w="9525">
            <a:solidFill>
              <a:srgbClr val="000000"/>
            </a:solidFill>
            <a:prstDash val="dash"/>
            <a:round/>
            <a:headEnd/>
            <a:tailEnd/>
          </a:ln>
        </xdr:spPr>
      </xdr:sp>
      <xdr:sp macro="" textlink="">
        <xdr:nvSpPr>
          <xdr:cNvPr id="3938" name="Line 350">
            <a:extLst>
              <a:ext uri="{FF2B5EF4-FFF2-40B4-BE49-F238E27FC236}">
                <a16:creationId xmlns:a16="http://schemas.microsoft.com/office/drawing/2014/main" id="{00000000-0008-0000-0000-0000620F0000}"/>
              </a:ext>
            </a:extLst>
          </xdr:cNvPr>
          <xdr:cNvSpPr>
            <a:spLocks noChangeShapeType="1"/>
          </xdr:cNvSpPr>
        </xdr:nvSpPr>
        <xdr:spPr bwMode="auto">
          <a:xfrm flipH="1">
            <a:off x="1270204" y="23384830"/>
            <a:ext cx="120469" cy="602025"/>
          </a:xfrm>
          <a:prstGeom prst="line">
            <a:avLst/>
          </a:prstGeom>
          <a:noFill/>
          <a:ln w="9525">
            <a:solidFill>
              <a:srgbClr val="000000"/>
            </a:solidFill>
            <a:round/>
            <a:headEnd/>
            <a:tailEnd/>
          </a:ln>
        </xdr:spPr>
      </xdr:sp>
      <xdr:sp macro="" textlink="">
        <xdr:nvSpPr>
          <xdr:cNvPr id="3939" name="Line 351">
            <a:extLst>
              <a:ext uri="{FF2B5EF4-FFF2-40B4-BE49-F238E27FC236}">
                <a16:creationId xmlns:a16="http://schemas.microsoft.com/office/drawing/2014/main" id="{00000000-0008-0000-0000-0000630F0000}"/>
              </a:ext>
            </a:extLst>
          </xdr:cNvPr>
          <xdr:cNvSpPr>
            <a:spLocks noChangeShapeType="1"/>
          </xdr:cNvSpPr>
        </xdr:nvSpPr>
        <xdr:spPr bwMode="auto">
          <a:xfrm flipH="1">
            <a:off x="1201714" y="23981753"/>
            <a:ext cx="68491" cy="285707"/>
          </a:xfrm>
          <a:prstGeom prst="line">
            <a:avLst/>
          </a:prstGeom>
          <a:noFill/>
          <a:ln w="9525">
            <a:solidFill>
              <a:srgbClr val="000000"/>
            </a:solidFill>
            <a:prstDash val="dash"/>
            <a:round/>
            <a:headEnd/>
            <a:tailEnd/>
          </a:ln>
        </xdr:spPr>
      </xdr:sp>
      <xdr:sp macro="" textlink="">
        <xdr:nvSpPr>
          <xdr:cNvPr id="3940" name="Line 352">
            <a:extLst>
              <a:ext uri="{FF2B5EF4-FFF2-40B4-BE49-F238E27FC236}">
                <a16:creationId xmlns:a16="http://schemas.microsoft.com/office/drawing/2014/main" id="{00000000-0008-0000-0000-0000640F0000}"/>
              </a:ext>
            </a:extLst>
          </xdr:cNvPr>
          <xdr:cNvSpPr>
            <a:spLocks noChangeShapeType="1"/>
          </xdr:cNvSpPr>
        </xdr:nvSpPr>
        <xdr:spPr bwMode="auto">
          <a:xfrm>
            <a:off x="1396148" y="23384830"/>
            <a:ext cx="142372" cy="0"/>
          </a:xfrm>
          <a:prstGeom prst="line">
            <a:avLst/>
          </a:prstGeom>
          <a:noFill/>
          <a:ln w="9525">
            <a:solidFill>
              <a:srgbClr val="000000"/>
            </a:solidFill>
            <a:round/>
            <a:headEnd/>
            <a:tailEnd/>
          </a:ln>
        </xdr:spPr>
      </xdr:sp>
      <xdr:sp macro="" textlink="">
        <xdr:nvSpPr>
          <xdr:cNvPr id="3941" name="Line 353">
            <a:extLst>
              <a:ext uri="{FF2B5EF4-FFF2-40B4-BE49-F238E27FC236}">
                <a16:creationId xmlns:a16="http://schemas.microsoft.com/office/drawing/2014/main" id="{00000000-0008-0000-0000-0000650F0000}"/>
              </a:ext>
            </a:extLst>
          </xdr:cNvPr>
          <xdr:cNvSpPr>
            <a:spLocks noChangeShapeType="1"/>
          </xdr:cNvSpPr>
        </xdr:nvSpPr>
        <xdr:spPr bwMode="auto">
          <a:xfrm>
            <a:off x="1538520" y="23384830"/>
            <a:ext cx="125944" cy="602025"/>
          </a:xfrm>
          <a:prstGeom prst="line">
            <a:avLst/>
          </a:prstGeom>
          <a:noFill/>
          <a:ln w="9525">
            <a:solidFill>
              <a:srgbClr val="000000"/>
            </a:solidFill>
            <a:round/>
            <a:headEnd/>
            <a:tailEnd/>
          </a:ln>
        </xdr:spPr>
      </xdr:sp>
      <xdr:sp macro="" textlink="">
        <xdr:nvSpPr>
          <xdr:cNvPr id="3942" name="Line 354">
            <a:extLst>
              <a:ext uri="{FF2B5EF4-FFF2-40B4-BE49-F238E27FC236}">
                <a16:creationId xmlns:a16="http://schemas.microsoft.com/office/drawing/2014/main" id="{00000000-0008-0000-0000-0000660F0000}"/>
              </a:ext>
            </a:extLst>
          </xdr:cNvPr>
          <xdr:cNvSpPr>
            <a:spLocks noChangeShapeType="1"/>
          </xdr:cNvSpPr>
        </xdr:nvSpPr>
        <xdr:spPr bwMode="auto">
          <a:xfrm>
            <a:off x="1669941" y="23997059"/>
            <a:ext cx="65711" cy="265299"/>
          </a:xfrm>
          <a:prstGeom prst="line">
            <a:avLst/>
          </a:prstGeom>
          <a:noFill/>
          <a:ln w="9525">
            <a:solidFill>
              <a:srgbClr val="000000"/>
            </a:solidFill>
            <a:prstDash val="dash"/>
            <a:round/>
            <a:headEnd/>
            <a:tailEnd/>
          </a:ln>
        </xdr:spPr>
      </xdr:sp>
      <xdr:sp macro="" textlink="">
        <xdr:nvSpPr>
          <xdr:cNvPr id="3943" name="Line 357">
            <a:extLst>
              <a:ext uri="{FF2B5EF4-FFF2-40B4-BE49-F238E27FC236}">
                <a16:creationId xmlns:a16="http://schemas.microsoft.com/office/drawing/2014/main" id="{00000000-0008-0000-0000-0000670F0000}"/>
              </a:ext>
            </a:extLst>
          </xdr:cNvPr>
          <xdr:cNvSpPr>
            <a:spLocks noChangeShapeType="1"/>
          </xdr:cNvSpPr>
        </xdr:nvSpPr>
        <xdr:spPr bwMode="auto">
          <a:xfrm flipH="1">
            <a:off x="1836451" y="23388336"/>
            <a:ext cx="31524" cy="45917"/>
          </a:xfrm>
          <a:prstGeom prst="line">
            <a:avLst/>
          </a:prstGeom>
          <a:noFill/>
          <a:ln w="9525">
            <a:solidFill>
              <a:srgbClr val="000000"/>
            </a:solidFill>
            <a:round/>
            <a:headEnd/>
            <a:tailEnd/>
          </a:ln>
        </xdr:spPr>
      </xdr:sp>
      <xdr:sp macro="" textlink="">
        <xdr:nvSpPr>
          <xdr:cNvPr id="3944" name="Line 358">
            <a:extLst>
              <a:ext uri="{FF2B5EF4-FFF2-40B4-BE49-F238E27FC236}">
                <a16:creationId xmlns:a16="http://schemas.microsoft.com/office/drawing/2014/main" id="{00000000-0008-0000-0000-0000680F0000}"/>
              </a:ext>
            </a:extLst>
          </xdr:cNvPr>
          <xdr:cNvSpPr>
            <a:spLocks noChangeShapeType="1"/>
          </xdr:cNvSpPr>
        </xdr:nvSpPr>
        <xdr:spPr bwMode="auto">
          <a:xfrm flipH="1">
            <a:off x="1873453" y="23393171"/>
            <a:ext cx="26071" cy="45917"/>
          </a:xfrm>
          <a:prstGeom prst="line">
            <a:avLst/>
          </a:prstGeom>
          <a:noFill/>
          <a:ln w="9525">
            <a:solidFill>
              <a:srgbClr val="000000"/>
            </a:solidFill>
            <a:round/>
            <a:headEnd/>
            <a:tailEnd/>
          </a:ln>
        </xdr:spPr>
      </xdr:sp>
      <xdr:sp macro="" textlink="">
        <xdr:nvSpPr>
          <xdr:cNvPr id="3945" name="Line 359">
            <a:extLst>
              <a:ext uri="{FF2B5EF4-FFF2-40B4-BE49-F238E27FC236}">
                <a16:creationId xmlns:a16="http://schemas.microsoft.com/office/drawing/2014/main" id="{00000000-0008-0000-0000-0000690F0000}"/>
              </a:ext>
            </a:extLst>
          </xdr:cNvPr>
          <xdr:cNvSpPr>
            <a:spLocks noChangeShapeType="1"/>
          </xdr:cNvSpPr>
        </xdr:nvSpPr>
        <xdr:spPr bwMode="auto">
          <a:xfrm flipH="1">
            <a:off x="1904999" y="23382878"/>
            <a:ext cx="38331" cy="56121"/>
          </a:xfrm>
          <a:prstGeom prst="line">
            <a:avLst/>
          </a:prstGeom>
          <a:noFill/>
          <a:ln w="9525">
            <a:solidFill>
              <a:srgbClr val="000000"/>
            </a:solidFill>
            <a:round/>
            <a:headEnd/>
            <a:tailEnd/>
          </a:ln>
        </xdr:spPr>
      </xdr:sp>
      <xdr:sp macro="" textlink="">
        <xdr:nvSpPr>
          <xdr:cNvPr id="3946" name="Line 360">
            <a:extLst>
              <a:ext uri="{FF2B5EF4-FFF2-40B4-BE49-F238E27FC236}">
                <a16:creationId xmlns:a16="http://schemas.microsoft.com/office/drawing/2014/main" id="{00000000-0008-0000-0000-00006A0F0000}"/>
              </a:ext>
            </a:extLst>
          </xdr:cNvPr>
          <xdr:cNvSpPr>
            <a:spLocks noChangeShapeType="1"/>
          </xdr:cNvSpPr>
        </xdr:nvSpPr>
        <xdr:spPr bwMode="auto">
          <a:xfrm>
            <a:off x="1954282" y="23392816"/>
            <a:ext cx="60234" cy="35713"/>
          </a:xfrm>
          <a:prstGeom prst="line">
            <a:avLst/>
          </a:prstGeom>
          <a:noFill/>
          <a:ln w="9525">
            <a:solidFill>
              <a:srgbClr val="000000"/>
            </a:solidFill>
            <a:round/>
            <a:headEnd/>
            <a:tailEnd/>
          </a:ln>
        </xdr:spPr>
      </xdr:sp>
      <xdr:sp macro="" textlink="">
        <xdr:nvSpPr>
          <xdr:cNvPr id="3947" name="Line 361">
            <a:extLst>
              <a:ext uri="{FF2B5EF4-FFF2-40B4-BE49-F238E27FC236}">
                <a16:creationId xmlns:a16="http://schemas.microsoft.com/office/drawing/2014/main" id="{00000000-0008-0000-0000-00006B0F0000}"/>
              </a:ext>
            </a:extLst>
          </xdr:cNvPr>
          <xdr:cNvSpPr>
            <a:spLocks noChangeShapeType="1"/>
          </xdr:cNvSpPr>
        </xdr:nvSpPr>
        <xdr:spPr bwMode="auto">
          <a:xfrm>
            <a:off x="1981662" y="23387714"/>
            <a:ext cx="65711" cy="35713"/>
          </a:xfrm>
          <a:prstGeom prst="line">
            <a:avLst/>
          </a:prstGeom>
          <a:noFill/>
          <a:ln w="9525">
            <a:solidFill>
              <a:srgbClr val="000000"/>
            </a:solidFill>
            <a:round/>
            <a:headEnd/>
            <a:tailEnd/>
          </a:ln>
        </xdr:spPr>
      </xdr:sp>
      <xdr:sp macro="" textlink="">
        <xdr:nvSpPr>
          <xdr:cNvPr id="3948" name="Line 362">
            <a:extLst>
              <a:ext uri="{FF2B5EF4-FFF2-40B4-BE49-F238E27FC236}">
                <a16:creationId xmlns:a16="http://schemas.microsoft.com/office/drawing/2014/main" id="{00000000-0008-0000-0000-00006C0F0000}"/>
              </a:ext>
            </a:extLst>
          </xdr:cNvPr>
          <xdr:cNvSpPr>
            <a:spLocks noChangeShapeType="1"/>
          </xdr:cNvSpPr>
        </xdr:nvSpPr>
        <xdr:spPr bwMode="auto">
          <a:xfrm>
            <a:off x="2009040" y="23382523"/>
            <a:ext cx="76661" cy="40815"/>
          </a:xfrm>
          <a:prstGeom prst="line">
            <a:avLst/>
          </a:prstGeom>
          <a:noFill/>
          <a:ln w="9525">
            <a:solidFill>
              <a:srgbClr val="000000"/>
            </a:solidFill>
            <a:round/>
            <a:headEnd/>
            <a:tailEnd/>
          </a:ln>
        </xdr:spPr>
      </xdr:sp>
      <xdr:sp macro="" textlink="">
        <xdr:nvSpPr>
          <xdr:cNvPr id="3949" name="Line 363">
            <a:extLst>
              <a:ext uri="{FF2B5EF4-FFF2-40B4-BE49-F238E27FC236}">
                <a16:creationId xmlns:a16="http://schemas.microsoft.com/office/drawing/2014/main" id="{00000000-0008-0000-0000-00006D0F0000}"/>
              </a:ext>
            </a:extLst>
          </xdr:cNvPr>
          <xdr:cNvSpPr>
            <a:spLocks noChangeShapeType="1"/>
          </xdr:cNvSpPr>
        </xdr:nvSpPr>
        <xdr:spPr bwMode="auto">
          <a:xfrm>
            <a:off x="1398055" y="23386775"/>
            <a:ext cx="0" cy="596782"/>
          </a:xfrm>
          <a:prstGeom prst="line">
            <a:avLst/>
          </a:prstGeom>
          <a:noFill/>
          <a:ln w="9525">
            <a:solidFill>
              <a:srgbClr val="000000"/>
            </a:solidFill>
            <a:round/>
            <a:headEnd/>
            <a:tailEnd/>
          </a:ln>
        </xdr:spPr>
      </xdr:sp>
      <xdr:sp macro="" textlink="">
        <xdr:nvSpPr>
          <xdr:cNvPr id="3950" name="Line 364">
            <a:extLst>
              <a:ext uri="{FF2B5EF4-FFF2-40B4-BE49-F238E27FC236}">
                <a16:creationId xmlns:a16="http://schemas.microsoft.com/office/drawing/2014/main" id="{00000000-0008-0000-0000-00006E0F0000}"/>
              </a:ext>
            </a:extLst>
          </xdr:cNvPr>
          <xdr:cNvSpPr>
            <a:spLocks noChangeShapeType="1"/>
          </xdr:cNvSpPr>
        </xdr:nvSpPr>
        <xdr:spPr bwMode="auto">
          <a:xfrm>
            <a:off x="1540294" y="23386775"/>
            <a:ext cx="0" cy="596782"/>
          </a:xfrm>
          <a:prstGeom prst="line">
            <a:avLst/>
          </a:prstGeom>
          <a:noFill/>
          <a:ln w="9525">
            <a:solidFill>
              <a:srgbClr val="000000"/>
            </a:solidFill>
            <a:round/>
            <a:headEnd/>
            <a:tailEnd/>
          </a:ln>
        </xdr:spPr>
      </xdr:sp>
      <xdr:sp macro="" textlink="">
        <xdr:nvSpPr>
          <xdr:cNvPr id="3951" name="Line 365">
            <a:extLst>
              <a:ext uri="{FF2B5EF4-FFF2-40B4-BE49-F238E27FC236}">
                <a16:creationId xmlns:a16="http://schemas.microsoft.com/office/drawing/2014/main" id="{00000000-0008-0000-0000-00006F0F0000}"/>
              </a:ext>
            </a:extLst>
          </xdr:cNvPr>
          <xdr:cNvSpPr>
            <a:spLocks noChangeShapeType="1"/>
          </xdr:cNvSpPr>
        </xdr:nvSpPr>
        <xdr:spPr bwMode="auto">
          <a:xfrm flipH="1">
            <a:off x="1282486" y="23855136"/>
            <a:ext cx="88900" cy="0"/>
          </a:xfrm>
          <a:prstGeom prst="line">
            <a:avLst/>
          </a:prstGeom>
          <a:noFill/>
          <a:ln w="9525">
            <a:solidFill>
              <a:srgbClr val="000000"/>
            </a:solidFill>
            <a:round/>
            <a:headEnd/>
            <a:tailEnd type="arrow" w="sm" len="sm"/>
          </a:ln>
        </xdr:spPr>
      </xdr:sp>
      <xdr:sp macro="" textlink="">
        <xdr:nvSpPr>
          <xdr:cNvPr id="3952" name="Line 366">
            <a:extLst>
              <a:ext uri="{FF2B5EF4-FFF2-40B4-BE49-F238E27FC236}">
                <a16:creationId xmlns:a16="http://schemas.microsoft.com/office/drawing/2014/main" id="{00000000-0008-0000-0000-0000700F0000}"/>
              </a:ext>
            </a:extLst>
          </xdr:cNvPr>
          <xdr:cNvSpPr>
            <a:spLocks noChangeShapeType="1"/>
          </xdr:cNvSpPr>
        </xdr:nvSpPr>
        <xdr:spPr bwMode="auto">
          <a:xfrm flipH="1">
            <a:off x="1531405" y="23847582"/>
            <a:ext cx="88900" cy="0"/>
          </a:xfrm>
          <a:prstGeom prst="line">
            <a:avLst/>
          </a:prstGeom>
          <a:noFill/>
          <a:ln w="9525">
            <a:solidFill>
              <a:srgbClr val="000000"/>
            </a:solidFill>
            <a:round/>
            <a:headEnd/>
            <a:tailEnd type="arrow" w="sm" len="sm"/>
          </a:ln>
        </xdr:spPr>
      </xdr:sp>
      <xdr:sp macro="" textlink="">
        <xdr:nvSpPr>
          <xdr:cNvPr id="3953" name="Line 367">
            <a:extLst>
              <a:ext uri="{FF2B5EF4-FFF2-40B4-BE49-F238E27FC236}">
                <a16:creationId xmlns:a16="http://schemas.microsoft.com/office/drawing/2014/main" id="{00000000-0008-0000-0000-0000710F0000}"/>
              </a:ext>
            </a:extLst>
          </xdr:cNvPr>
          <xdr:cNvSpPr>
            <a:spLocks noChangeShapeType="1"/>
          </xdr:cNvSpPr>
        </xdr:nvSpPr>
        <xdr:spPr bwMode="auto">
          <a:xfrm flipH="1">
            <a:off x="1389165" y="23688944"/>
            <a:ext cx="106679" cy="0"/>
          </a:xfrm>
          <a:prstGeom prst="line">
            <a:avLst/>
          </a:prstGeom>
          <a:noFill/>
          <a:ln w="9525">
            <a:solidFill>
              <a:srgbClr val="000000"/>
            </a:solidFill>
            <a:round/>
            <a:headEnd/>
            <a:tailEnd type="arrow" w="sm" len="sm"/>
          </a:ln>
        </xdr:spPr>
      </xdr:sp>
      <xdr:sp macro="" textlink="">
        <xdr:nvSpPr>
          <xdr:cNvPr id="3954" name="Line 438">
            <a:extLst>
              <a:ext uri="{FF2B5EF4-FFF2-40B4-BE49-F238E27FC236}">
                <a16:creationId xmlns:a16="http://schemas.microsoft.com/office/drawing/2014/main" id="{00000000-0008-0000-0000-0000720F0000}"/>
              </a:ext>
            </a:extLst>
          </xdr:cNvPr>
          <xdr:cNvSpPr>
            <a:spLocks noChangeShapeType="1"/>
          </xdr:cNvSpPr>
        </xdr:nvSpPr>
        <xdr:spPr bwMode="auto">
          <a:xfrm>
            <a:off x="1371385" y="23855136"/>
            <a:ext cx="0" cy="113313"/>
          </a:xfrm>
          <a:prstGeom prst="line">
            <a:avLst/>
          </a:prstGeom>
          <a:noFill/>
          <a:ln w="9525">
            <a:solidFill>
              <a:srgbClr val="000000"/>
            </a:solidFill>
            <a:round/>
            <a:headEnd/>
            <a:tailEnd type="triangle" w="med" len="sm"/>
          </a:ln>
        </xdr:spPr>
      </xdr:sp>
      <xdr:sp macro="" textlink="">
        <xdr:nvSpPr>
          <xdr:cNvPr id="3955" name="Line 439">
            <a:extLst>
              <a:ext uri="{FF2B5EF4-FFF2-40B4-BE49-F238E27FC236}">
                <a16:creationId xmlns:a16="http://schemas.microsoft.com/office/drawing/2014/main" id="{00000000-0008-0000-0000-0000730F0000}"/>
              </a:ext>
            </a:extLst>
          </xdr:cNvPr>
          <xdr:cNvSpPr>
            <a:spLocks noChangeShapeType="1"/>
          </xdr:cNvSpPr>
        </xdr:nvSpPr>
        <xdr:spPr bwMode="auto">
          <a:xfrm>
            <a:off x="1495844" y="23688944"/>
            <a:ext cx="0" cy="143530"/>
          </a:xfrm>
          <a:prstGeom prst="line">
            <a:avLst/>
          </a:prstGeom>
          <a:noFill/>
          <a:ln w="9525">
            <a:solidFill>
              <a:srgbClr val="000000"/>
            </a:solidFill>
            <a:round/>
            <a:headEnd/>
            <a:tailEnd type="triangle" w="med" len="sm"/>
          </a:ln>
        </xdr:spPr>
      </xdr:sp>
      <xdr:sp macro="" textlink="">
        <xdr:nvSpPr>
          <xdr:cNvPr id="3956" name="Line 440">
            <a:extLst>
              <a:ext uri="{FF2B5EF4-FFF2-40B4-BE49-F238E27FC236}">
                <a16:creationId xmlns:a16="http://schemas.microsoft.com/office/drawing/2014/main" id="{00000000-0008-0000-0000-0000740F0000}"/>
              </a:ext>
            </a:extLst>
          </xdr:cNvPr>
          <xdr:cNvSpPr>
            <a:spLocks noChangeShapeType="1"/>
          </xdr:cNvSpPr>
        </xdr:nvSpPr>
        <xdr:spPr bwMode="auto">
          <a:xfrm>
            <a:off x="1620304" y="23847582"/>
            <a:ext cx="0" cy="120868"/>
          </a:xfrm>
          <a:prstGeom prst="line">
            <a:avLst/>
          </a:prstGeom>
          <a:noFill/>
          <a:ln w="9525">
            <a:solidFill>
              <a:srgbClr val="000000"/>
            </a:solidFill>
            <a:round/>
            <a:headEnd/>
            <a:tailEnd type="triangle" w="med" len="sm"/>
          </a:ln>
        </xdr:spPr>
      </xdr:sp>
      <xdr:sp macro="" textlink="">
        <xdr:nvSpPr>
          <xdr:cNvPr id="3957" name="Rectangle 361">
            <a:extLst>
              <a:ext uri="{FF2B5EF4-FFF2-40B4-BE49-F238E27FC236}">
                <a16:creationId xmlns:a16="http://schemas.microsoft.com/office/drawing/2014/main" id="{00000000-0008-0000-0000-0000750F0000}"/>
              </a:ext>
            </a:extLst>
          </xdr:cNvPr>
          <xdr:cNvSpPr>
            <a:spLocks noChangeArrowheads="1"/>
          </xdr:cNvSpPr>
        </xdr:nvSpPr>
        <xdr:spPr bwMode="auto">
          <a:xfrm>
            <a:off x="2328860" y="23382090"/>
            <a:ext cx="189468" cy="601466"/>
          </a:xfrm>
          <a:prstGeom prst="rect">
            <a:avLst/>
          </a:prstGeom>
          <a:noFill/>
          <a:ln w="9525">
            <a:solidFill>
              <a:srgbClr val="000000"/>
            </a:solidFill>
            <a:miter lim="800000"/>
            <a:headEnd/>
            <a:tailEnd/>
          </a:ln>
        </xdr:spPr>
      </xdr:sp>
      <xdr:sp macro="" textlink="">
        <xdr:nvSpPr>
          <xdr:cNvPr id="3958" name="Line 443">
            <a:extLst>
              <a:ext uri="{FF2B5EF4-FFF2-40B4-BE49-F238E27FC236}">
                <a16:creationId xmlns:a16="http://schemas.microsoft.com/office/drawing/2014/main" id="{00000000-0008-0000-0000-0000760F0000}"/>
              </a:ext>
            </a:extLst>
          </xdr:cNvPr>
          <xdr:cNvSpPr>
            <a:spLocks noChangeShapeType="1"/>
          </xdr:cNvSpPr>
        </xdr:nvSpPr>
        <xdr:spPr bwMode="auto">
          <a:xfrm>
            <a:off x="2358731" y="23651172"/>
            <a:ext cx="122260" cy="0"/>
          </a:xfrm>
          <a:prstGeom prst="line">
            <a:avLst/>
          </a:prstGeom>
          <a:noFill/>
          <a:ln w="3175">
            <a:solidFill>
              <a:srgbClr val="000000"/>
            </a:solidFill>
            <a:round/>
            <a:headEnd type="diamond" w="med" len="med"/>
            <a:tailEnd type="diamond" w="med" len="med"/>
          </a:ln>
        </xdr:spPr>
      </xdr:sp>
      <xdr:sp macro="" textlink="">
        <xdr:nvSpPr>
          <xdr:cNvPr id="3959" name="Line 444">
            <a:extLst>
              <a:ext uri="{FF2B5EF4-FFF2-40B4-BE49-F238E27FC236}">
                <a16:creationId xmlns:a16="http://schemas.microsoft.com/office/drawing/2014/main" id="{00000000-0008-0000-0000-0000770F0000}"/>
              </a:ext>
            </a:extLst>
          </xdr:cNvPr>
          <xdr:cNvSpPr>
            <a:spLocks noChangeShapeType="1"/>
          </xdr:cNvSpPr>
        </xdr:nvSpPr>
        <xdr:spPr bwMode="auto">
          <a:xfrm>
            <a:off x="2358731" y="23719160"/>
            <a:ext cx="122260" cy="0"/>
          </a:xfrm>
          <a:prstGeom prst="line">
            <a:avLst/>
          </a:prstGeom>
          <a:noFill/>
          <a:ln w="3175">
            <a:solidFill>
              <a:srgbClr val="000000"/>
            </a:solidFill>
            <a:round/>
            <a:headEnd type="diamond" w="med" len="med"/>
            <a:tailEnd type="diamond" w="med" len="med"/>
          </a:ln>
        </xdr:spPr>
      </xdr:sp>
      <xdr:sp macro="" textlink="">
        <xdr:nvSpPr>
          <xdr:cNvPr id="3960" name="Line 445">
            <a:extLst>
              <a:ext uri="{FF2B5EF4-FFF2-40B4-BE49-F238E27FC236}">
                <a16:creationId xmlns:a16="http://schemas.microsoft.com/office/drawing/2014/main" id="{00000000-0008-0000-0000-0000780F0000}"/>
              </a:ext>
            </a:extLst>
          </xdr:cNvPr>
          <xdr:cNvSpPr>
            <a:spLocks noChangeShapeType="1"/>
          </xdr:cNvSpPr>
        </xdr:nvSpPr>
        <xdr:spPr bwMode="auto">
          <a:xfrm>
            <a:off x="2358731" y="23794702"/>
            <a:ext cx="122260" cy="0"/>
          </a:xfrm>
          <a:prstGeom prst="line">
            <a:avLst/>
          </a:prstGeom>
          <a:noFill/>
          <a:ln w="3175">
            <a:solidFill>
              <a:srgbClr val="000000"/>
            </a:solidFill>
            <a:round/>
            <a:headEnd type="diamond" w="med" len="med"/>
            <a:tailEnd type="diamond" w="med" len="med"/>
          </a:ln>
        </xdr:spPr>
      </xdr:sp>
      <xdr:sp macro="" textlink="">
        <xdr:nvSpPr>
          <xdr:cNvPr id="3961" name="Line 446">
            <a:extLst>
              <a:ext uri="{FF2B5EF4-FFF2-40B4-BE49-F238E27FC236}">
                <a16:creationId xmlns:a16="http://schemas.microsoft.com/office/drawing/2014/main" id="{00000000-0008-0000-0000-0000790F0000}"/>
              </a:ext>
            </a:extLst>
          </xdr:cNvPr>
          <xdr:cNvSpPr>
            <a:spLocks noChangeShapeType="1"/>
          </xdr:cNvSpPr>
        </xdr:nvSpPr>
        <xdr:spPr bwMode="auto">
          <a:xfrm>
            <a:off x="2358731" y="23938232"/>
            <a:ext cx="122260" cy="0"/>
          </a:xfrm>
          <a:prstGeom prst="line">
            <a:avLst/>
          </a:prstGeom>
          <a:noFill/>
          <a:ln w="3175">
            <a:solidFill>
              <a:srgbClr val="000000"/>
            </a:solidFill>
            <a:round/>
            <a:headEnd type="diamond" w="med" len="med"/>
            <a:tailEnd type="diamond" w="med" len="med"/>
          </a:ln>
        </xdr:spPr>
      </xdr:sp>
      <xdr:sp macro="" textlink="">
        <xdr:nvSpPr>
          <xdr:cNvPr id="3962" name="Line 447">
            <a:extLst>
              <a:ext uri="{FF2B5EF4-FFF2-40B4-BE49-F238E27FC236}">
                <a16:creationId xmlns:a16="http://schemas.microsoft.com/office/drawing/2014/main" id="{00000000-0008-0000-0000-00007A0F0000}"/>
              </a:ext>
            </a:extLst>
          </xdr:cNvPr>
          <xdr:cNvSpPr>
            <a:spLocks noChangeShapeType="1"/>
          </xdr:cNvSpPr>
        </xdr:nvSpPr>
        <xdr:spPr bwMode="auto">
          <a:xfrm>
            <a:off x="2358731" y="23424546"/>
            <a:ext cx="122260" cy="0"/>
          </a:xfrm>
          <a:prstGeom prst="line">
            <a:avLst/>
          </a:prstGeom>
          <a:noFill/>
          <a:ln w="3175">
            <a:solidFill>
              <a:srgbClr val="000000"/>
            </a:solidFill>
            <a:round/>
            <a:headEnd type="diamond" w="med" len="med"/>
            <a:tailEnd type="diamond" w="med" len="med"/>
          </a:ln>
        </xdr:spPr>
      </xdr:sp>
      <xdr:sp macro="" textlink="">
        <xdr:nvSpPr>
          <xdr:cNvPr id="3963" name="Line 448">
            <a:extLst>
              <a:ext uri="{FF2B5EF4-FFF2-40B4-BE49-F238E27FC236}">
                <a16:creationId xmlns:a16="http://schemas.microsoft.com/office/drawing/2014/main" id="{00000000-0008-0000-0000-00007B0F0000}"/>
              </a:ext>
            </a:extLst>
          </xdr:cNvPr>
          <xdr:cNvSpPr>
            <a:spLocks noChangeShapeType="1"/>
          </xdr:cNvSpPr>
        </xdr:nvSpPr>
        <xdr:spPr bwMode="auto">
          <a:xfrm>
            <a:off x="2358731" y="23500088"/>
            <a:ext cx="122260" cy="0"/>
          </a:xfrm>
          <a:prstGeom prst="line">
            <a:avLst/>
          </a:prstGeom>
          <a:noFill/>
          <a:ln w="3175">
            <a:solidFill>
              <a:srgbClr val="000000"/>
            </a:solidFill>
            <a:round/>
            <a:headEnd type="diamond" w="med" len="med"/>
            <a:tailEnd type="diamond" w="med" len="med"/>
          </a:ln>
        </xdr:spPr>
      </xdr:sp>
      <xdr:sp macro="" textlink="">
        <xdr:nvSpPr>
          <xdr:cNvPr id="3964" name="Line 449">
            <a:extLst>
              <a:ext uri="{FF2B5EF4-FFF2-40B4-BE49-F238E27FC236}">
                <a16:creationId xmlns:a16="http://schemas.microsoft.com/office/drawing/2014/main" id="{00000000-0008-0000-0000-00007C0F0000}"/>
              </a:ext>
            </a:extLst>
          </xdr:cNvPr>
          <xdr:cNvSpPr>
            <a:spLocks noChangeShapeType="1"/>
          </xdr:cNvSpPr>
        </xdr:nvSpPr>
        <xdr:spPr bwMode="auto">
          <a:xfrm>
            <a:off x="2358731" y="23575631"/>
            <a:ext cx="122260" cy="0"/>
          </a:xfrm>
          <a:prstGeom prst="line">
            <a:avLst/>
          </a:prstGeom>
          <a:noFill/>
          <a:ln w="3175">
            <a:solidFill>
              <a:srgbClr val="000000"/>
            </a:solidFill>
            <a:round/>
            <a:headEnd type="diamond" w="med" len="med"/>
            <a:tailEnd type="diamond" w="med" len="med"/>
          </a:ln>
        </xdr:spPr>
      </xdr:sp>
      <xdr:sp macro="" textlink="">
        <xdr:nvSpPr>
          <xdr:cNvPr id="3965" name="Line 452">
            <a:extLst>
              <a:ext uri="{FF2B5EF4-FFF2-40B4-BE49-F238E27FC236}">
                <a16:creationId xmlns:a16="http://schemas.microsoft.com/office/drawing/2014/main" id="{00000000-0008-0000-0000-00007D0F0000}"/>
              </a:ext>
            </a:extLst>
          </xdr:cNvPr>
          <xdr:cNvSpPr>
            <a:spLocks noChangeShapeType="1"/>
          </xdr:cNvSpPr>
        </xdr:nvSpPr>
        <xdr:spPr bwMode="auto">
          <a:xfrm>
            <a:off x="2358731" y="23870244"/>
            <a:ext cx="122260" cy="0"/>
          </a:xfrm>
          <a:prstGeom prst="line">
            <a:avLst/>
          </a:prstGeom>
          <a:noFill/>
          <a:ln w="3175">
            <a:solidFill>
              <a:srgbClr val="000000"/>
            </a:solidFill>
            <a:round/>
            <a:headEnd type="diamond" w="med" len="med"/>
            <a:tailEnd type="diamond" w="med" len="med"/>
          </a:ln>
        </xdr:spPr>
      </xdr:sp>
      <xdr:sp macro="" textlink="">
        <xdr:nvSpPr>
          <xdr:cNvPr id="3966" name="Line 509">
            <a:extLst>
              <a:ext uri="{FF2B5EF4-FFF2-40B4-BE49-F238E27FC236}">
                <a16:creationId xmlns:a16="http://schemas.microsoft.com/office/drawing/2014/main" id="{00000000-0008-0000-0000-00007E0F0000}"/>
              </a:ext>
            </a:extLst>
          </xdr:cNvPr>
          <xdr:cNvSpPr>
            <a:spLocks noChangeShapeType="1"/>
          </xdr:cNvSpPr>
        </xdr:nvSpPr>
        <xdr:spPr bwMode="auto">
          <a:xfrm flipH="1">
            <a:off x="668459" y="23412651"/>
            <a:ext cx="229089" cy="0"/>
          </a:xfrm>
          <a:prstGeom prst="line">
            <a:avLst/>
          </a:prstGeom>
          <a:noFill/>
          <a:ln w="9525">
            <a:solidFill>
              <a:srgbClr val="000000"/>
            </a:solidFill>
            <a:round/>
            <a:headEnd/>
            <a:tailEnd type="triangle" w="med" len="med"/>
          </a:ln>
        </xdr:spPr>
      </xdr:sp>
      <xdr:sp macro="" textlink="">
        <xdr:nvSpPr>
          <xdr:cNvPr id="940" name="Text Box 510">
            <a:extLst>
              <a:ext uri="{FF2B5EF4-FFF2-40B4-BE49-F238E27FC236}">
                <a16:creationId xmlns:a16="http://schemas.microsoft.com/office/drawing/2014/main" id="{00000000-0008-0000-0000-0000AC030000}"/>
              </a:ext>
            </a:extLst>
          </xdr:cNvPr>
          <xdr:cNvSpPr txBox="1">
            <a:spLocks noChangeArrowheads="1"/>
          </xdr:cNvSpPr>
        </xdr:nvSpPr>
        <xdr:spPr bwMode="auto">
          <a:xfrm>
            <a:off x="939729" y="23321088"/>
            <a:ext cx="316237" cy="22850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a</a:t>
            </a:r>
            <a:r>
              <a:rPr lang="en-US" sz="1000" b="0" i="0" strike="noStrike" baseline="-25000">
                <a:solidFill>
                  <a:srgbClr val="000000"/>
                </a:solidFill>
                <a:latin typeface="Arial"/>
                <a:cs typeface="Arial"/>
              </a:rPr>
              <a:t>v</a:t>
            </a:r>
          </a:p>
        </xdr:txBody>
      </xdr:sp>
      <xdr:sp macro="" textlink="">
        <xdr:nvSpPr>
          <xdr:cNvPr id="3968" name="Line 511">
            <a:extLst>
              <a:ext uri="{FF2B5EF4-FFF2-40B4-BE49-F238E27FC236}">
                <a16:creationId xmlns:a16="http://schemas.microsoft.com/office/drawing/2014/main" id="{00000000-0008-0000-0000-0000800F0000}"/>
              </a:ext>
            </a:extLst>
          </xdr:cNvPr>
          <xdr:cNvSpPr>
            <a:spLocks noChangeShapeType="1"/>
          </xdr:cNvSpPr>
        </xdr:nvSpPr>
        <xdr:spPr bwMode="auto">
          <a:xfrm flipH="1">
            <a:off x="677347" y="23518455"/>
            <a:ext cx="229089" cy="0"/>
          </a:xfrm>
          <a:prstGeom prst="line">
            <a:avLst/>
          </a:prstGeom>
          <a:noFill/>
          <a:ln w="9525">
            <a:solidFill>
              <a:srgbClr val="000000"/>
            </a:solidFill>
            <a:round/>
            <a:headEnd/>
            <a:tailEnd type="arrow" w="med" len="med"/>
          </a:ln>
        </xdr:spPr>
      </xdr:sp>
      <xdr:sp macro="" textlink="">
        <xdr:nvSpPr>
          <xdr:cNvPr id="942" name="Text Box 512">
            <a:extLst>
              <a:ext uri="{FF2B5EF4-FFF2-40B4-BE49-F238E27FC236}">
                <a16:creationId xmlns:a16="http://schemas.microsoft.com/office/drawing/2014/main" id="{00000000-0008-0000-0000-0000AE030000}"/>
              </a:ext>
            </a:extLst>
          </xdr:cNvPr>
          <xdr:cNvSpPr txBox="1">
            <a:spLocks noChangeArrowheads="1"/>
          </xdr:cNvSpPr>
        </xdr:nvSpPr>
        <xdr:spPr bwMode="auto">
          <a:xfrm>
            <a:off x="949612" y="23425819"/>
            <a:ext cx="316237" cy="22850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a</a:t>
            </a:r>
            <a:r>
              <a:rPr lang="en-US" sz="1000" b="0" i="0" strike="noStrike" baseline="-25000">
                <a:solidFill>
                  <a:srgbClr val="000000"/>
                </a:solidFill>
                <a:latin typeface="Arial"/>
                <a:cs typeface="Arial"/>
              </a:rPr>
              <a:t>h</a:t>
            </a:r>
          </a:p>
        </xdr:txBody>
      </xdr:sp>
      <xdr:sp macro="" textlink="">
        <xdr:nvSpPr>
          <xdr:cNvPr id="3970" name="Line 513">
            <a:extLst>
              <a:ext uri="{FF2B5EF4-FFF2-40B4-BE49-F238E27FC236}">
                <a16:creationId xmlns:a16="http://schemas.microsoft.com/office/drawing/2014/main" id="{00000000-0008-0000-0000-0000820F0000}"/>
              </a:ext>
            </a:extLst>
          </xdr:cNvPr>
          <xdr:cNvSpPr>
            <a:spLocks noChangeShapeType="1"/>
          </xdr:cNvSpPr>
        </xdr:nvSpPr>
        <xdr:spPr bwMode="auto">
          <a:xfrm flipH="1">
            <a:off x="695124" y="23616701"/>
            <a:ext cx="229089" cy="0"/>
          </a:xfrm>
          <a:prstGeom prst="line">
            <a:avLst/>
          </a:prstGeom>
          <a:noFill/>
          <a:ln w="9525">
            <a:solidFill>
              <a:srgbClr val="000000"/>
            </a:solidFill>
            <a:round/>
            <a:headEnd type="diamond" w="med" len="med"/>
            <a:tailEnd type="diamond" w="med" len="med"/>
          </a:ln>
        </xdr:spPr>
      </xdr:sp>
      <xdr:sp macro="" textlink="">
        <xdr:nvSpPr>
          <xdr:cNvPr id="944" name="Text Box 514">
            <a:extLst>
              <a:ext uri="{FF2B5EF4-FFF2-40B4-BE49-F238E27FC236}">
                <a16:creationId xmlns:a16="http://schemas.microsoft.com/office/drawing/2014/main" id="{00000000-0008-0000-0000-0000B0030000}"/>
              </a:ext>
            </a:extLst>
          </xdr:cNvPr>
          <xdr:cNvSpPr txBox="1">
            <a:spLocks noChangeArrowheads="1"/>
          </xdr:cNvSpPr>
        </xdr:nvSpPr>
        <xdr:spPr bwMode="auto">
          <a:xfrm>
            <a:off x="969376" y="23549593"/>
            <a:ext cx="286590" cy="238026"/>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Symbol"/>
              </a:rPr>
              <a:t>i</a:t>
            </a:r>
          </a:p>
        </xdr:txBody>
      </xdr:sp>
      <xdr:sp macro="" textlink="">
        <xdr:nvSpPr>
          <xdr:cNvPr id="946" name="Text Box 538">
            <a:extLst>
              <a:ext uri="{FF2B5EF4-FFF2-40B4-BE49-F238E27FC236}">
                <a16:creationId xmlns:a16="http://schemas.microsoft.com/office/drawing/2014/main" id="{00000000-0008-0000-0000-0000B2030000}"/>
              </a:ext>
            </a:extLst>
          </xdr:cNvPr>
          <xdr:cNvSpPr txBox="1">
            <a:spLocks noChangeArrowheads="1"/>
          </xdr:cNvSpPr>
        </xdr:nvSpPr>
        <xdr:spPr bwMode="auto">
          <a:xfrm>
            <a:off x="504903" y="24539781"/>
            <a:ext cx="2164247" cy="161858"/>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Case I (Vertical Acceleration Down (</a:t>
            </a:r>
            <a:r>
              <a:rPr lang="en-US" sz="900" b="0" i="0" strike="noStrike">
                <a:solidFill>
                  <a:srgbClr val="000000"/>
                </a:solidFill>
                <a:latin typeface="Symbol"/>
              </a:rPr>
              <a:t>a</a:t>
            </a:r>
            <a:r>
              <a:rPr lang="en-US" sz="900" b="0" i="0" strike="noStrike" baseline="-25000">
                <a:solidFill>
                  <a:srgbClr val="000000"/>
                </a:solidFill>
                <a:latin typeface="Arial"/>
                <a:cs typeface="Arial"/>
              </a:rPr>
              <a:t>v</a:t>
            </a:r>
            <a:r>
              <a:rPr lang="en-US" sz="900" b="0" i="0" strike="noStrike">
                <a:solidFill>
                  <a:srgbClr val="000000"/>
                </a:solidFill>
                <a:latin typeface="Arial"/>
                <a:cs typeface="Arial"/>
              </a:rPr>
              <a:t>)</a:t>
            </a:r>
          </a:p>
        </xdr:txBody>
      </xdr:sp>
      <xdr:sp macro="" textlink="">
        <xdr:nvSpPr>
          <xdr:cNvPr id="3973" name="Line 279">
            <a:extLst>
              <a:ext uri="{FF2B5EF4-FFF2-40B4-BE49-F238E27FC236}">
                <a16:creationId xmlns:a16="http://schemas.microsoft.com/office/drawing/2014/main" id="{00000000-0008-0000-0000-0000850F0000}"/>
              </a:ext>
            </a:extLst>
          </xdr:cNvPr>
          <xdr:cNvSpPr>
            <a:spLocks noChangeShapeType="1"/>
          </xdr:cNvSpPr>
        </xdr:nvSpPr>
        <xdr:spPr bwMode="auto">
          <a:xfrm flipH="1">
            <a:off x="2888725" y="24272813"/>
            <a:ext cx="641591" cy="137810"/>
          </a:xfrm>
          <a:prstGeom prst="line">
            <a:avLst/>
          </a:prstGeom>
          <a:noFill/>
          <a:ln w="9525">
            <a:solidFill>
              <a:srgbClr val="000000"/>
            </a:solidFill>
            <a:prstDash val="dash"/>
            <a:round/>
            <a:headEnd/>
            <a:tailEnd/>
          </a:ln>
        </xdr:spPr>
      </xdr:sp>
      <xdr:sp macro="" textlink="">
        <xdr:nvSpPr>
          <xdr:cNvPr id="3974" name="Line 280">
            <a:extLst>
              <a:ext uri="{FF2B5EF4-FFF2-40B4-BE49-F238E27FC236}">
                <a16:creationId xmlns:a16="http://schemas.microsoft.com/office/drawing/2014/main" id="{00000000-0008-0000-0000-0000860F0000}"/>
              </a:ext>
            </a:extLst>
          </xdr:cNvPr>
          <xdr:cNvSpPr>
            <a:spLocks noChangeShapeType="1"/>
          </xdr:cNvSpPr>
        </xdr:nvSpPr>
        <xdr:spPr bwMode="auto">
          <a:xfrm>
            <a:off x="4066365" y="24262605"/>
            <a:ext cx="630482" cy="142914"/>
          </a:xfrm>
          <a:prstGeom prst="line">
            <a:avLst/>
          </a:prstGeom>
          <a:noFill/>
          <a:ln w="9525">
            <a:solidFill>
              <a:srgbClr val="000000"/>
            </a:solidFill>
            <a:prstDash val="dash"/>
            <a:round/>
            <a:headEnd/>
            <a:tailEnd/>
          </a:ln>
        </xdr:spPr>
      </xdr:sp>
      <xdr:sp macro="" textlink="">
        <xdr:nvSpPr>
          <xdr:cNvPr id="3975" name="Text Box 282">
            <a:extLst>
              <a:ext uri="{FF2B5EF4-FFF2-40B4-BE49-F238E27FC236}">
                <a16:creationId xmlns:a16="http://schemas.microsoft.com/office/drawing/2014/main" id="{00000000-0008-0000-0000-0000870F0000}"/>
              </a:ext>
            </a:extLst>
          </xdr:cNvPr>
          <xdr:cNvSpPr txBox="1">
            <a:spLocks noChangeArrowheads="1"/>
          </xdr:cNvSpPr>
        </xdr:nvSpPr>
        <xdr:spPr bwMode="auto">
          <a:xfrm>
            <a:off x="3755291" y="23696054"/>
            <a:ext cx="144427" cy="96977"/>
          </a:xfrm>
          <a:prstGeom prst="rect">
            <a:avLst/>
          </a:prstGeom>
          <a:noFill/>
          <a:ln w="9525">
            <a:noFill/>
            <a:miter lim="800000"/>
            <a:headEnd/>
            <a:tailEnd/>
          </a:ln>
        </xdr:spPr>
      </xdr:sp>
      <xdr:sp macro="" textlink="">
        <xdr:nvSpPr>
          <xdr:cNvPr id="3976" name="Text Box 283">
            <a:extLst>
              <a:ext uri="{FF2B5EF4-FFF2-40B4-BE49-F238E27FC236}">
                <a16:creationId xmlns:a16="http://schemas.microsoft.com/office/drawing/2014/main" id="{00000000-0008-0000-0000-0000880F0000}"/>
              </a:ext>
            </a:extLst>
          </xdr:cNvPr>
          <xdr:cNvSpPr txBox="1">
            <a:spLocks noChangeArrowheads="1"/>
          </xdr:cNvSpPr>
        </xdr:nvSpPr>
        <xdr:spPr bwMode="auto">
          <a:xfrm>
            <a:off x="3877499" y="23833864"/>
            <a:ext cx="122208" cy="132706"/>
          </a:xfrm>
          <a:prstGeom prst="rect">
            <a:avLst/>
          </a:prstGeom>
          <a:noFill/>
          <a:ln w="9525">
            <a:noFill/>
            <a:miter lim="800000"/>
            <a:headEnd/>
            <a:tailEnd/>
          </a:ln>
        </xdr:spPr>
      </xdr:sp>
      <xdr:sp macro="" textlink="">
        <xdr:nvSpPr>
          <xdr:cNvPr id="3977" name="Text Box 284">
            <a:extLst>
              <a:ext uri="{FF2B5EF4-FFF2-40B4-BE49-F238E27FC236}">
                <a16:creationId xmlns:a16="http://schemas.microsoft.com/office/drawing/2014/main" id="{00000000-0008-0000-0000-0000890F0000}"/>
              </a:ext>
            </a:extLst>
          </xdr:cNvPr>
          <xdr:cNvSpPr txBox="1">
            <a:spLocks noChangeArrowheads="1"/>
          </xdr:cNvSpPr>
        </xdr:nvSpPr>
        <xdr:spPr bwMode="auto">
          <a:xfrm>
            <a:off x="3619194" y="23838967"/>
            <a:ext cx="130542" cy="137810"/>
          </a:xfrm>
          <a:prstGeom prst="rect">
            <a:avLst/>
          </a:prstGeom>
          <a:noFill/>
          <a:ln w="9525">
            <a:noFill/>
            <a:miter lim="800000"/>
            <a:headEnd/>
            <a:tailEnd/>
          </a:ln>
        </xdr:spPr>
      </xdr:sp>
      <xdr:sp macro="" textlink="">
        <xdr:nvSpPr>
          <xdr:cNvPr id="3978" name="Line 356">
            <a:extLst>
              <a:ext uri="{FF2B5EF4-FFF2-40B4-BE49-F238E27FC236}">
                <a16:creationId xmlns:a16="http://schemas.microsoft.com/office/drawing/2014/main" id="{00000000-0008-0000-0000-00008A0F0000}"/>
              </a:ext>
            </a:extLst>
          </xdr:cNvPr>
          <xdr:cNvSpPr>
            <a:spLocks noChangeShapeType="1"/>
          </xdr:cNvSpPr>
        </xdr:nvSpPr>
        <xdr:spPr bwMode="auto">
          <a:xfrm flipH="1">
            <a:off x="2822066" y="23986986"/>
            <a:ext cx="2002544" cy="0"/>
          </a:xfrm>
          <a:prstGeom prst="line">
            <a:avLst/>
          </a:prstGeom>
          <a:noFill/>
          <a:ln w="9525">
            <a:solidFill>
              <a:srgbClr val="000000"/>
            </a:solidFill>
            <a:round/>
            <a:headEnd/>
            <a:tailEnd/>
          </a:ln>
        </xdr:spPr>
      </xdr:sp>
      <xdr:sp macro="" textlink="">
        <xdr:nvSpPr>
          <xdr:cNvPr id="3979" name="Line 357">
            <a:extLst>
              <a:ext uri="{FF2B5EF4-FFF2-40B4-BE49-F238E27FC236}">
                <a16:creationId xmlns:a16="http://schemas.microsoft.com/office/drawing/2014/main" id="{00000000-0008-0000-0000-00008B0F0000}"/>
              </a:ext>
            </a:extLst>
          </xdr:cNvPr>
          <xdr:cNvSpPr>
            <a:spLocks noChangeShapeType="1"/>
          </xdr:cNvSpPr>
        </xdr:nvSpPr>
        <xdr:spPr bwMode="auto">
          <a:xfrm flipH="1">
            <a:off x="2983158" y="23986986"/>
            <a:ext cx="61103" cy="35728"/>
          </a:xfrm>
          <a:prstGeom prst="line">
            <a:avLst/>
          </a:prstGeom>
          <a:noFill/>
          <a:ln w="9525">
            <a:solidFill>
              <a:srgbClr val="000000"/>
            </a:solidFill>
            <a:round/>
            <a:headEnd/>
            <a:tailEnd/>
          </a:ln>
        </xdr:spPr>
      </xdr:sp>
      <xdr:sp macro="" textlink="">
        <xdr:nvSpPr>
          <xdr:cNvPr id="3980" name="Line 358">
            <a:extLst>
              <a:ext uri="{FF2B5EF4-FFF2-40B4-BE49-F238E27FC236}">
                <a16:creationId xmlns:a16="http://schemas.microsoft.com/office/drawing/2014/main" id="{00000000-0008-0000-0000-00008C0F0000}"/>
              </a:ext>
            </a:extLst>
          </xdr:cNvPr>
          <xdr:cNvSpPr>
            <a:spLocks noChangeShapeType="1"/>
          </xdr:cNvSpPr>
        </xdr:nvSpPr>
        <xdr:spPr bwMode="auto">
          <a:xfrm flipH="1">
            <a:off x="3016487" y="23986986"/>
            <a:ext cx="59104" cy="35728"/>
          </a:xfrm>
          <a:prstGeom prst="line">
            <a:avLst/>
          </a:prstGeom>
          <a:noFill/>
          <a:ln w="9525">
            <a:solidFill>
              <a:srgbClr val="000000"/>
            </a:solidFill>
            <a:round/>
            <a:headEnd/>
            <a:tailEnd/>
          </a:ln>
        </xdr:spPr>
      </xdr:sp>
      <xdr:sp macro="" textlink="">
        <xdr:nvSpPr>
          <xdr:cNvPr id="3981" name="Line 359">
            <a:extLst>
              <a:ext uri="{FF2B5EF4-FFF2-40B4-BE49-F238E27FC236}">
                <a16:creationId xmlns:a16="http://schemas.microsoft.com/office/drawing/2014/main" id="{00000000-0008-0000-0000-00008D0F0000}"/>
              </a:ext>
            </a:extLst>
          </xdr:cNvPr>
          <xdr:cNvSpPr>
            <a:spLocks noChangeShapeType="1"/>
          </xdr:cNvSpPr>
        </xdr:nvSpPr>
        <xdr:spPr bwMode="auto">
          <a:xfrm flipH="1">
            <a:off x="3049817" y="23986986"/>
            <a:ext cx="63882" cy="35728"/>
          </a:xfrm>
          <a:prstGeom prst="line">
            <a:avLst/>
          </a:prstGeom>
          <a:noFill/>
          <a:ln w="9525">
            <a:solidFill>
              <a:srgbClr val="000000"/>
            </a:solidFill>
            <a:round/>
            <a:headEnd/>
            <a:tailEnd/>
          </a:ln>
        </xdr:spPr>
      </xdr:sp>
      <xdr:sp macro="" textlink="">
        <xdr:nvSpPr>
          <xdr:cNvPr id="3982" name="Line 360">
            <a:extLst>
              <a:ext uri="{FF2B5EF4-FFF2-40B4-BE49-F238E27FC236}">
                <a16:creationId xmlns:a16="http://schemas.microsoft.com/office/drawing/2014/main" id="{00000000-0008-0000-0000-00008E0F0000}"/>
              </a:ext>
            </a:extLst>
          </xdr:cNvPr>
          <xdr:cNvSpPr>
            <a:spLocks noChangeShapeType="1"/>
          </xdr:cNvSpPr>
        </xdr:nvSpPr>
        <xdr:spPr bwMode="auto">
          <a:xfrm>
            <a:off x="3124809" y="23986986"/>
            <a:ext cx="49994" cy="40833"/>
          </a:xfrm>
          <a:prstGeom prst="line">
            <a:avLst/>
          </a:prstGeom>
          <a:noFill/>
          <a:ln w="9525">
            <a:solidFill>
              <a:srgbClr val="000000"/>
            </a:solidFill>
            <a:round/>
            <a:headEnd/>
            <a:tailEnd/>
          </a:ln>
        </xdr:spPr>
      </xdr:sp>
      <xdr:sp macro="" textlink="">
        <xdr:nvSpPr>
          <xdr:cNvPr id="3983" name="Line 361">
            <a:extLst>
              <a:ext uri="{FF2B5EF4-FFF2-40B4-BE49-F238E27FC236}">
                <a16:creationId xmlns:a16="http://schemas.microsoft.com/office/drawing/2014/main" id="{00000000-0008-0000-0000-00008F0F0000}"/>
              </a:ext>
            </a:extLst>
          </xdr:cNvPr>
          <xdr:cNvSpPr>
            <a:spLocks noChangeShapeType="1"/>
          </xdr:cNvSpPr>
        </xdr:nvSpPr>
        <xdr:spPr bwMode="auto">
          <a:xfrm>
            <a:off x="3158139" y="23986986"/>
            <a:ext cx="49994" cy="40833"/>
          </a:xfrm>
          <a:prstGeom prst="line">
            <a:avLst/>
          </a:prstGeom>
          <a:noFill/>
          <a:ln w="9525">
            <a:solidFill>
              <a:srgbClr val="000000"/>
            </a:solidFill>
            <a:round/>
            <a:headEnd/>
            <a:tailEnd/>
          </a:ln>
        </xdr:spPr>
      </xdr:sp>
      <xdr:sp macro="" textlink="">
        <xdr:nvSpPr>
          <xdr:cNvPr id="3984" name="Line 362">
            <a:extLst>
              <a:ext uri="{FF2B5EF4-FFF2-40B4-BE49-F238E27FC236}">
                <a16:creationId xmlns:a16="http://schemas.microsoft.com/office/drawing/2014/main" id="{00000000-0008-0000-0000-0000900F0000}"/>
              </a:ext>
            </a:extLst>
          </xdr:cNvPr>
          <xdr:cNvSpPr>
            <a:spLocks noChangeShapeType="1"/>
          </xdr:cNvSpPr>
        </xdr:nvSpPr>
        <xdr:spPr bwMode="auto">
          <a:xfrm>
            <a:off x="3191468" y="23992089"/>
            <a:ext cx="49994" cy="40833"/>
          </a:xfrm>
          <a:prstGeom prst="line">
            <a:avLst/>
          </a:prstGeom>
          <a:noFill/>
          <a:ln w="9525">
            <a:solidFill>
              <a:srgbClr val="000000"/>
            </a:solidFill>
            <a:round/>
            <a:headEnd/>
            <a:tailEnd/>
          </a:ln>
        </xdr:spPr>
      </xdr:sp>
      <xdr:sp macro="" textlink="">
        <xdr:nvSpPr>
          <xdr:cNvPr id="3985" name="Text Box 389">
            <a:extLst>
              <a:ext uri="{FF2B5EF4-FFF2-40B4-BE49-F238E27FC236}">
                <a16:creationId xmlns:a16="http://schemas.microsoft.com/office/drawing/2014/main" id="{00000000-0008-0000-0000-0000910F0000}"/>
              </a:ext>
            </a:extLst>
          </xdr:cNvPr>
          <xdr:cNvSpPr txBox="1">
            <a:spLocks noChangeArrowheads="1"/>
          </xdr:cNvSpPr>
        </xdr:nvSpPr>
        <xdr:spPr bwMode="auto">
          <a:xfrm>
            <a:off x="4971814" y="23690950"/>
            <a:ext cx="88879" cy="81665"/>
          </a:xfrm>
          <a:prstGeom prst="rect">
            <a:avLst/>
          </a:prstGeom>
          <a:noFill/>
          <a:ln w="9525">
            <a:noFill/>
            <a:miter lim="800000"/>
            <a:headEnd/>
            <a:tailEnd/>
          </a:ln>
        </xdr:spPr>
      </xdr:sp>
      <xdr:sp macro="" textlink="">
        <xdr:nvSpPr>
          <xdr:cNvPr id="3986" name="Line 347">
            <a:extLst>
              <a:ext uri="{FF2B5EF4-FFF2-40B4-BE49-F238E27FC236}">
                <a16:creationId xmlns:a16="http://schemas.microsoft.com/office/drawing/2014/main" id="{00000000-0008-0000-0000-0000920F0000}"/>
              </a:ext>
            </a:extLst>
          </xdr:cNvPr>
          <xdr:cNvSpPr>
            <a:spLocks noChangeShapeType="1"/>
          </xdr:cNvSpPr>
        </xdr:nvSpPr>
        <xdr:spPr bwMode="auto">
          <a:xfrm>
            <a:off x="2883170" y="24507600"/>
            <a:ext cx="1813676" cy="0"/>
          </a:xfrm>
          <a:prstGeom prst="line">
            <a:avLst/>
          </a:prstGeom>
          <a:noFill/>
          <a:ln w="9525">
            <a:solidFill>
              <a:srgbClr val="000000"/>
            </a:solidFill>
            <a:prstDash val="dash"/>
            <a:round/>
            <a:headEnd/>
            <a:tailEnd/>
          </a:ln>
        </xdr:spPr>
      </xdr:sp>
      <xdr:sp macro="" textlink="">
        <xdr:nvSpPr>
          <xdr:cNvPr id="3987" name="Line 348">
            <a:extLst>
              <a:ext uri="{FF2B5EF4-FFF2-40B4-BE49-F238E27FC236}">
                <a16:creationId xmlns:a16="http://schemas.microsoft.com/office/drawing/2014/main" id="{00000000-0008-0000-0000-0000930F0000}"/>
              </a:ext>
            </a:extLst>
          </xdr:cNvPr>
          <xdr:cNvSpPr>
            <a:spLocks noChangeShapeType="1"/>
          </xdr:cNvSpPr>
        </xdr:nvSpPr>
        <xdr:spPr bwMode="auto">
          <a:xfrm flipH="1">
            <a:off x="2883170" y="24415727"/>
            <a:ext cx="0" cy="96977"/>
          </a:xfrm>
          <a:prstGeom prst="line">
            <a:avLst/>
          </a:prstGeom>
          <a:noFill/>
          <a:ln w="9525">
            <a:solidFill>
              <a:srgbClr val="000000"/>
            </a:solidFill>
            <a:prstDash val="dash"/>
            <a:round/>
            <a:headEnd/>
            <a:tailEnd/>
          </a:ln>
        </xdr:spPr>
      </xdr:sp>
      <xdr:sp macro="" textlink="">
        <xdr:nvSpPr>
          <xdr:cNvPr id="3988" name="Line 349">
            <a:extLst>
              <a:ext uri="{FF2B5EF4-FFF2-40B4-BE49-F238E27FC236}">
                <a16:creationId xmlns:a16="http://schemas.microsoft.com/office/drawing/2014/main" id="{00000000-0008-0000-0000-0000940F0000}"/>
              </a:ext>
            </a:extLst>
          </xdr:cNvPr>
          <xdr:cNvSpPr>
            <a:spLocks noChangeShapeType="1"/>
          </xdr:cNvSpPr>
        </xdr:nvSpPr>
        <xdr:spPr bwMode="auto">
          <a:xfrm flipH="1">
            <a:off x="4696848" y="24410623"/>
            <a:ext cx="0" cy="91873"/>
          </a:xfrm>
          <a:prstGeom prst="line">
            <a:avLst/>
          </a:prstGeom>
          <a:noFill/>
          <a:ln w="9525">
            <a:solidFill>
              <a:srgbClr val="000000"/>
            </a:solidFill>
            <a:prstDash val="dash"/>
            <a:round/>
            <a:headEnd/>
            <a:tailEnd/>
          </a:ln>
        </xdr:spPr>
      </xdr:sp>
      <xdr:sp macro="" textlink="">
        <xdr:nvSpPr>
          <xdr:cNvPr id="3989" name="Line 350">
            <a:extLst>
              <a:ext uri="{FF2B5EF4-FFF2-40B4-BE49-F238E27FC236}">
                <a16:creationId xmlns:a16="http://schemas.microsoft.com/office/drawing/2014/main" id="{00000000-0008-0000-0000-0000950F0000}"/>
              </a:ext>
            </a:extLst>
          </xdr:cNvPr>
          <xdr:cNvSpPr>
            <a:spLocks noChangeShapeType="1"/>
          </xdr:cNvSpPr>
        </xdr:nvSpPr>
        <xdr:spPr bwMode="auto">
          <a:xfrm flipH="1">
            <a:off x="3596975" y="23384706"/>
            <a:ext cx="124988" cy="602280"/>
          </a:xfrm>
          <a:prstGeom prst="line">
            <a:avLst/>
          </a:prstGeom>
          <a:noFill/>
          <a:ln w="9525">
            <a:solidFill>
              <a:srgbClr val="000000"/>
            </a:solidFill>
            <a:round/>
            <a:headEnd/>
            <a:tailEnd/>
          </a:ln>
        </xdr:spPr>
      </xdr:sp>
      <xdr:sp macro="" textlink="">
        <xdr:nvSpPr>
          <xdr:cNvPr id="3990" name="Line 351">
            <a:extLst>
              <a:ext uri="{FF2B5EF4-FFF2-40B4-BE49-F238E27FC236}">
                <a16:creationId xmlns:a16="http://schemas.microsoft.com/office/drawing/2014/main" id="{00000000-0008-0000-0000-0000960F0000}"/>
              </a:ext>
            </a:extLst>
          </xdr:cNvPr>
          <xdr:cNvSpPr>
            <a:spLocks noChangeShapeType="1"/>
          </xdr:cNvSpPr>
        </xdr:nvSpPr>
        <xdr:spPr bwMode="auto">
          <a:xfrm flipH="1">
            <a:off x="3530316" y="23981881"/>
            <a:ext cx="66659" cy="285828"/>
          </a:xfrm>
          <a:prstGeom prst="line">
            <a:avLst/>
          </a:prstGeom>
          <a:noFill/>
          <a:ln w="9525">
            <a:solidFill>
              <a:srgbClr val="000000"/>
            </a:solidFill>
            <a:prstDash val="dash"/>
            <a:round/>
            <a:headEnd/>
            <a:tailEnd/>
          </a:ln>
        </xdr:spPr>
      </xdr:sp>
      <xdr:sp macro="" textlink="">
        <xdr:nvSpPr>
          <xdr:cNvPr id="3991" name="Line 352">
            <a:extLst>
              <a:ext uri="{FF2B5EF4-FFF2-40B4-BE49-F238E27FC236}">
                <a16:creationId xmlns:a16="http://schemas.microsoft.com/office/drawing/2014/main" id="{00000000-0008-0000-0000-0000970F0000}"/>
              </a:ext>
            </a:extLst>
          </xdr:cNvPr>
          <xdr:cNvSpPr>
            <a:spLocks noChangeShapeType="1"/>
          </xdr:cNvSpPr>
        </xdr:nvSpPr>
        <xdr:spPr bwMode="auto">
          <a:xfrm>
            <a:off x="3727517" y="23384706"/>
            <a:ext cx="144427" cy="0"/>
          </a:xfrm>
          <a:prstGeom prst="line">
            <a:avLst/>
          </a:prstGeom>
          <a:noFill/>
          <a:ln w="9525">
            <a:solidFill>
              <a:srgbClr val="000000"/>
            </a:solidFill>
            <a:round/>
            <a:headEnd/>
            <a:tailEnd/>
          </a:ln>
        </xdr:spPr>
      </xdr:sp>
      <xdr:sp macro="" textlink="">
        <xdr:nvSpPr>
          <xdr:cNvPr id="3992" name="Line 353">
            <a:extLst>
              <a:ext uri="{FF2B5EF4-FFF2-40B4-BE49-F238E27FC236}">
                <a16:creationId xmlns:a16="http://schemas.microsoft.com/office/drawing/2014/main" id="{00000000-0008-0000-0000-0000980F0000}"/>
              </a:ext>
            </a:extLst>
          </xdr:cNvPr>
          <xdr:cNvSpPr>
            <a:spLocks noChangeShapeType="1"/>
          </xdr:cNvSpPr>
        </xdr:nvSpPr>
        <xdr:spPr bwMode="auto">
          <a:xfrm>
            <a:off x="3871943" y="23384706"/>
            <a:ext cx="127762" cy="602280"/>
          </a:xfrm>
          <a:prstGeom prst="line">
            <a:avLst/>
          </a:prstGeom>
          <a:noFill/>
          <a:ln w="9525">
            <a:solidFill>
              <a:srgbClr val="000000"/>
            </a:solidFill>
            <a:round/>
            <a:headEnd/>
            <a:tailEnd/>
          </a:ln>
        </xdr:spPr>
      </xdr:sp>
      <xdr:sp macro="" textlink="">
        <xdr:nvSpPr>
          <xdr:cNvPr id="3993" name="Line 354">
            <a:extLst>
              <a:ext uri="{FF2B5EF4-FFF2-40B4-BE49-F238E27FC236}">
                <a16:creationId xmlns:a16="http://schemas.microsoft.com/office/drawing/2014/main" id="{00000000-0008-0000-0000-0000990F0000}"/>
              </a:ext>
            </a:extLst>
          </xdr:cNvPr>
          <xdr:cNvSpPr>
            <a:spLocks noChangeShapeType="1"/>
          </xdr:cNvSpPr>
        </xdr:nvSpPr>
        <xdr:spPr bwMode="auto">
          <a:xfrm>
            <a:off x="4005261" y="23997194"/>
            <a:ext cx="66659" cy="265411"/>
          </a:xfrm>
          <a:prstGeom prst="line">
            <a:avLst/>
          </a:prstGeom>
          <a:noFill/>
          <a:ln w="9525">
            <a:solidFill>
              <a:srgbClr val="000000"/>
            </a:solidFill>
            <a:prstDash val="dash"/>
            <a:round/>
            <a:headEnd/>
            <a:tailEnd/>
          </a:ln>
        </xdr:spPr>
      </xdr:sp>
      <xdr:sp macro="" textlink="">
        <xdr:nvSpPr>
          <xdr:cNvPr id="3994" name="Line 357">
            <a:extLst>
              <a:ext uri="{FF2B5EF4-FFF2-40B4-BE49-F238E27FC236}">
                <a16:creationId xmlns:a16="http://schemas.microsoft.com/office/drawing/2014/main" id="{00000000-0008-0000-0000-00009A0F0000}"/>
              </a:ext>
            </a:extLst>
          </xdr:cNvPr>
          <xdr:cNvSpPr>
            <a:spLocks noChangeShapeType="1"/>
          </xdr:cNvSpPr>
        </xdr:nvSpPr>
        <xdr:spPr bwMode="auto">
          <a:xfrm flipH="1">
            <a:off x="4218785" y="23393187"/>
            <a:ext cx="33329" cy="45937"/>
          </a:xfrm>
          <a:prstGeom prst="line">
            <a:avLst/>
          </a:prstGeom>
          <a:noFill/>
          <a:ln w="9525">
            <a:solidFill>
              <a:srgbClr val="000000"/>
            </a:solidFill>
            <a:round/>
            <a:headEnd/>
            <a:tailEnd/>
          </a:ln>
        </xdr:spPr>
      </xdr:sp>
      <xdr:sp macro="" textlink="">
        <xdr:nvSpPr>
          <xdr:cNvPr id="3995" name="Line 358">
            <a:extLst>
              <a:ext uri="{FF2B5EF4-FFF2-40B4-BE49-F238E27FC236}">
                <a16:creationId xmlns:a16="http://schemas.microsoft.com/office/drawing/2014/main" id="{00000000-0008-0000-0000-00009B0F0000}"/>
              </a:ext>
            </a:extLst>
          </xdr:cNvPr>
          <xdr:cNvSpPr>
            <a:spLocks noChangeShapeType="1"/>
          </xdr:cNvSpPr>
        </xdr:nvSpPr>
        <xdr:spPr bwMode="auto">
          <a:xfrm flipH="1">
            <a:off x="4257669" y="23387992"/>
            <a:ext cx="27774" cy="45937"/>
          </a:xfrm>
          <a:prstGeom prst="line">
            <a:avLst/>
          </a:prstGeom>
          <a:noFill/>
          <a:ln w="9525">
            <a:solidFill>
              <a:srgbClr val="000000"/>
            </a:solidFill>
            <a:round/>
            <a:headEnd/>
            <a:tailEnd/>
          </a:ln>
        </xdr:spPr>
      </xdr:sp>
      <xdr:sp macro="" textlink="">
        <xdr:nvSpPr>
          <xdr:cNvPr id="3996" name="Line 359">
            <a:extLst>
              <a:ext uri="{FF2B5EF4-FFF2-40B4-BE49-F238E27FC236}">
                <a16:creationId xmlns:a16="http://schemas.microsoft.com/office/drawing/2014/main" id="{00000000-0008-0000-0000-00009C0F0000}"/>
              </a:ext>
            </a:extLst>
          </xdr:cNvPr>
          <xdr:cNvSpPr>
            <a:spLocks noChangeShapeType="1"/>
          </xdr:cNvSpPr>
        </xdr:nvSpPr>
        <xdr:spPr bwMode="auto">
          <a:xfrm flipH="1">
            <a:off x="4290999" y="23387719"/>
            <a:ext cx="42972" cy="56145"/>
          </a:xfrm>
          <a:prstGeom prst="line">
            <a:avLst/>
          </a:prstGeom>
          <a:noFill/>
          <a:ln w="9525">
            <a:solidFill>
              <a:srgbClr val="000000"/>
            </a:solidFill>
            <a:round/>
            <a:headEnd/>
            <a:tailEnd/>
          </a:ln>
        </xdr:spPr>
      </xdr:sp>
      <xdr:sp macro="" textlink="">
        <xdr:nvSpPr>
          <xdr:cNvPr id="3997" name="Line 360">
            <a:extLst>
              <a:ext uri="{FF2B5EF4-FFF2-40B4-BE49-F238E27FC236}">
                <a16:creationId xmlns:a16="http://schemas.microsoft.com/office/drawing/2014/main" id="{00000000-0008-0000-0000-00009D0F0000}"/>
              </a:ext>
            </a:extLst>
          </xdr:cNvPr>
          <xdr:cNvSpPr>
            <a:spLocks noChangeShapeType="1"/>
          </xdr:cNvSpPr>
        </xdr:nvSpPr>
        <xdr:spPr bwMode="auto">
          <a:xfrm>
            <a:off x="4345080" y="23392641"/>
            <a:ext cx="59795" cy="35728"/>
          </a:xfrm>
          <a:prstGeom prst="line">
            <a:avLst/>
          </a:prstGeom>
          <a:noFill/>
          <a:ln w="9525">
            <a:solidFill>
              <a:srgbClr val="000000"/>
            </a:solidFill>
            <a:round/>
            <a:headEnd/>
            <a:tailEnd/>
          </a:ln>
        </xdr:spPr>
      </xdr:sp>
      <xdr:sp macro="" textlink="">
        <xdr:nvSpPr>
          <xdr:cNvPr id="3998" name="Line 361">
            <a:extLst>
              <a:ext uri="{FF2B5EF4-FFF2-40B4-BE49-F238E27FC236}">
                <a16:creationId xmlns:a16="http://schemas.microsoft.com/office/drawing/2014/main" id="{00000000-0008-0000-0000-00009E0F0000}"/>
              </a:ext>
            </a:extLst>
          </xdr:cNvPr>
          <xdr:cNvSpPr>
            <a:spLocks noChangeShapeType="1"/>
          </xdr:cNvSpPr>
        </xdr:nvSpPr>
        <xdr:spPr bwMode="auto">
          <a:xfrm>
            <a:off x="4372855" y="23387537"/>
            <a:ext cx="65351" cy="35728"/>
          </a:xfrm>
          <a:prstGeom prst="line">
            <a:avLst/>
          </a:prstGeom>
          <a:noFill/>
          <a:ln w="9525">
            <a:solidFill>
              <a:srgbClr val="000000"/>
            </a:solidFill>
            <a:round/>
            <a:headEnd/>
            <a:tailEnd/>
          </a:ln>
        </xdr:spPr>
      </xdr:sp>
      <xdr:sp macro="" textlink="">
        <xdr:nvSpPr>
          <xdr:cNvPr id="3999" name="Line 362">
            <a:extLst>
              <a:ext uri="{FF2B5EF4-FFF2-40B4-BE49-F238E27FC236}">
                <a16:creationId xmlns:a16="http://schemas.microsoft.com/office/drawing/2014/main" id="{00000000-0008-0000-0000-00009F0F0000}"/>
              </a:ext>
            </a:extLst>
          </xdr:cNvPr>
          <xdr:cNvSpPr>
            <a:spLocks noChangeShapeType="1"/>
          </xdr:cNvSpPr>
        </xdr:nvSpPr>
        <xdr:spPr bwMode="auto">
          <a:xfrm>
            <a:off x="4399322" y="23382342"/>
            <a:ext cx="77768" cy="40833"/>
          </a:xfrm>
          <a:prstGeom prst="line">
            <a:avLst/>
          </a:prstGeom>
          <a:noFill/>
          <a:ln w="9525">
            <a:solidFill>
              <a:srgbClr val="000000"/>
            </a:solidFill>
            <a:round/>
            <a:headEnd/>
            <a:tailEnd/>
          </a:ln>
        </xdr:spPr>
      </xdr:sp>
      <xdr:sp macro="" textlink="">
        <xdr:nvSpPr>
          <xdr:cNvPr id="4000" name="Line 363">
            <a:extLst>
              <a:ext uri="{FF2B5EF4-FFF2-40B4-BE49-F238E27FC236}">
                <a16:creationId xmlns:a16="http://schemas.microsoft.com/office/drawing/2014/main" id="{00000000-0008-0000-0000-0000A00F0000}"/>
              </a:ext>
            </a:extLst>
          </xdr:cNvPr>
          <xdr:cNvSpPr>
            <a:spLocks noChangeShapeType="1"/>
          </xdr:cNvSpPr>
        </xdr:nvSpPr>
        <xdr:spPr bwMode="auto">
          <a:xfrm>
            <a:off x="3729451" y="23386652"/>
            <a:ext cx="0" cy="597034"/>
          </a:xfrm>
          <a:prstGeom prst="line">
            <a:avLst/>
          </a:prstGeom>
          <a:noFill/>
          <a:ln w="9525">
            <a:solidFill>
              <a:srgbClr val="000000"/>
            </a:solidFill>
            <a:round/>
            <a:headEnd/>
            <a:tailEnd/>
          </a:ln>
        </xdr:spPr>
      </xdr:sp>
      <xdr:sp macro="" textlink="">
        <xdr:nvSpPr>
          <xdr:cNvPr id="4001" name="Line 364">
            <a:extLst>
              <a:ext uri="{FF2B5EF4-FFF2-40B4-BE49-F238E27FC236}">
                <a16:creationId xmlns:a16="http://schemas.microsoft.com/office/drawing/2014/main" id="{00000000-0008-0000-0000-0000A10F0000}"/>
              </a:ext>
            </a:extLst>
          </xdr:cNvPr>
          <xdr:cNvSpPr>
            <a:spLocks noChangeShapeType="1"/>
          </xdr:cNvSpPr>
        </xdr:nvSpPr>
        <xdr:spPr bwMode="auto">
          <a:xfrm>
            <a:off x="3873743" y="23386652"/>
            <a:ext cx="0" cy="597034"/>
          </a:xfrm>
          <a:prstGeom prst="line">
            <a:avLst/>
          </a:prstGeom>
          <a:noFill/>
          <a:ln w="9525">
            <a:solidFill>
              <a:srgbClr val="000000"/>
            </a:solidFill>
            <a:round/>
            <a:headEnd/>
            <a:tailEnd/>
          </a:ln>
        </xdr:spPr>
      </xdr:sp>
      <xdr:sp macro="" textlink="">
        <xdr:nvSpPr>
          <xdr:cNvPr id="4002" name="Line 365">
            <a:extLst>
              <a:ext uri="{FF2B5EF4-FFF2-40B4-BE49-F238E27FC236}">
                <a16:creationId xmlns:a16="http://schemas.microsoft.com/office/drawing/2014/main" id="{00000000-0008-0000-0000-0000A20F0000}"/>
              </a:ext>
            </a:extLst>
          </xdr:cNvPr>
          <xdr:cNvSpPr>
            <a:spLocks noChangeShapeType="1"/>
          </xdr:cNvSpPr>
        </xdr:nvSpPr>
        <xdr:spPr bwMode="auto">
          <a:xfrm flipH="1">
            <a:off x="3609435" y="23877882"/>
            <a:ext cx="92963" cy="0"/>
          </a:xfrm>
          <a:prstGeom prst="line">
            <a:avLst/>
          </a:prstGeom>
          <a:noFill/>
          <a:ln w="9525">
            <a:solidFill>
              <a:srgbClr val="000000"/>
            </a:solidFill>
            <a:round/>
            <a:headEnd/>
            <a:tailEnd type="arrow" w="sm" len="sm"/>
          </a:ln>
        </xdr:spPr>
      </xdr:sp>
      <xdr:sp macro="" textlink="">
        <xdr:nvSpPr>
          <xdr:cNvPr id="4003" name="Line 366">
            <a:extLst>
              <a:ext uri="{FF2B5EF4-FFF2-40B4-BE49-F238E27FC236}">
                <a16:creationId xmlns:a16="http://schemas.microsoft.com/office/drawing/2014/main" id="{00000000-0008-0000-0000-0000A30F0000}"/>
              </a:ext>
            </a:extLst>
          </xdr:cNvPr>
          <xdr:cNvSpPr>
            <a:spLocks noChangeShapeType="1"/>
          </xdr:cNvSpPr>
        </xdr:nvSpPr>
        <xdr:spPr bwMode="auto">
          <a:xfrm flipH="1">
            <a:off x="3846689" y="23877882"/>
            <a:ext cx="90183" cy="0"/>
          </a:xfrm>
          <a:prstGeom prst="line">
            <a:avLst/>
          </a:prstGeom>
          <a:noFill/>
          <a:ln w="9525">
            <a:solidFill>
              <a:srgbClr val="000000"/>
            </a:solidFill>
            <a:round/>
            <a:headEnd/>
            <a:tailEnd type="arrow" w="sm" len="sm"/>
          </a:ln>
        </xdr:spPr>
      </xdr:sp>
      <xdr:sp macro="" textlink="">
        <xdr:nvSpPr>
          <xdr:cNvPr id="4004" name="Line 367">
            <a:extLst>
              <a:ext uri="{FF2B5EF4-FFF2-40B4-BE49-F238E27FC236}">
                <a16:creationId xmlns:a16="http://schemas.microsoft.com/office/drawing/2014/main" id="{00000000-0008-0000-0000-0000A40F0000}"/>
              </a:ext>
            </a:extLst>
          </xdr:cNvPr>
          <xdr:cNvSpPr>
            <a:spLocks noChangeShapeType="1"/>
          </xdr:cNvSpPr>
        </xdr:nvSpPr>
        <xdr:spPr bwMode="auto">
          <a:xfrm flipH="1">
            <a:off x="3720434" y="23734292"/>
            <a:ext cx="108219" cy="0"/>
          </a:xfrm>
          <a:prstGeom prst="line">
            <a:avLst/>
          </a:prstGeom>
          <a:noFill/>
          <a:ln w="9525">
            <a:solidFill>
              <a:srgbClr val="000000"/>
            </a:solidFill>
            <a:round/>
            <a:headEnd/>
            <a:tailEnd type="arrow" w="sm" len="sm"/>
          </a:ln>
        </xdr:spPr>
      </xdr:sp>
      <xdr:sp macro="" textlink="">
        <xdr:nvSpPr>
          <xdr:cNvPr id="4005" name="Line 491">
            <a:extLst>
              <a:ext uri="{FF2B5EF4-FFF2-40B4-BE49-F238E27FC236}">
                <a16:creationId xmlns:a16="http://schemas.microsoft.com/office/drawing/2014/main" id="{00000000-0008-0000-0000-0000A50F0000}"/>
              </a:ext>
            </a:extLst>
          </xdr:cNvPr>
          <xdr:cNvSpPr>
            <a:spLocks noChangeShapeType="1"/>
          </xdr:cNvSpPr>
        </xdr:nvSpPr>
        <xdr:spPr bwMode="auto">
          <a:xfrm flipV="1">
            <a:off x="3702396" y="23779636"/>
            <a:ext cx="0" cy="98246"/>
          </a:xfrm>
          <a:prstGeom prst="line">
            <a:avLst/>
          </a:prstGeom>
          <a:noFill/>
          <a:ln w="9525">
            <a:solidFill>
              <a:srgbClr val="000000"/>
            </a:solidFill>
            <a:round/>
            <a:headEnd/>
            <a:tailEnd type="triangle" w="med" len="sm"/>
          </a:ln>
        </xdr:spPr>
      </xdr:sp>
      <xdr:sp macro="" textlink="">
        <xdr:nvSpPr>
          <xdr:cNvPr id="4006" name="Line 492">
            <a:extLst>
              <a:ext uri="{FF2B5EF4-FFF2-40B4-BE49-F238E27FC236}">
                <a16:creationId xmlns:a16="http://schemas.microsoft.com/office/drawing/2014/main" id="{00000000-0008-0000-0000-0000A60F0000}"/>
              </a:ext>
            </a:extLst>
          </xdr:cNvPr>
          <xdr:cNvSpPr>
            <a:spLocks noChangeShapeType="1"/>
          </xdr:cNvSpPr>
        </xdr:nvSpPr>
        <xdr:spPr bwMode="auto">
          <a:xfrm flipV="1">
            <a:off x="3828652" y="23636046"/>
            <a:ext cx="0" cy="98246"/>
          </a:xfrm>
          <a:prstGeom prst="line">
            <a:avLst/>
          </a:prstGeom>
          <a:noFill/>
          <a:ln w="9525">
            <a:solidFill>
              <a:srgbClr val="000000"/>
            </a:solidFill>
            <a:round/>
            <a:headEnd/>
            <a:tailEnd type="triangle" w="med" len="sm"/>
          </a:ln>
        </xdr:spPr>
      </xdr:sp>
      <xdr:sp macro="" textlink="">
        <xdr:nvSpPr>
          <xdr:cNvPr id="4007" name="Line 493">
            <a:extLst>
              <a:ext uri="{FF2B5EF4-FFF2-40B4-BE49-F238E27FC236}">
                <a16:creationId xmlns:a16="http://schemas.microsoft.com/office/drawing/2014/main" id="{00000000-0008-0000-0000-0000A70F0000}"/>
              </a:ext>
            </a:extLst>
          </xdr:cNvPr>
          <xdr:cNvSpPr>
            <a:spLocks noChangeShapeType="1"/>
          </xdr:cNvSpPr>
        </xdr:nvSpPr>
        <xdr:spPr bwMode="auto">
          <a:xfrm flipV="1">
            <a:off x="3936871" y="23787193"/>
            <a:ext cx="0" cy="90689"/>
          </a:xfrm>
          <a:prstGeom prst="line">
            <a:avLst/>
          </a:prstGeom>
          <a:noFill/>
          <a:ln w="9525">
            <a:solidFill>
              <a:srgbClr val="000000"/>
            </a:solidFill>
            <a:round/>
            <a:headEnd/>
            <a:tailEnd type="triangle" w="med" len="sm"/>
          </a:ln>
        </xdr:spPr>
      </xdr:sp>
      <xdr:sp macro="" textlink="">
        <xdr:nvSpPr>
          <xdr:cNvPr id="4008" name="Rectangle 361">
            <a:extLst>
              <a:ext uri="{FF2B5EF4-FFF2-40B4-BE49-F238E27FC236}">
                <a16:creationId xmlns:a16="http://schemas.microsoft.com/office/drawing/2014/main" id="{00000000-0008-0000-0000-0000A80F0000}"/>
              </a:ext>
            </a:extLst>
          </xdr:cNvPr>
          <xdr:cNvSpPr>
            <a:spLocks noChangeArrowheads="1"/>
          </xdr:cNvSpPr>
        </xdr:nvSpPr>
        <xdr:spPr bwMode="auto">
          <a:xfrm>
            <a:off x="4679148" y="23379216"/>
            <a:ext cx="189383" cy="604470"/>
          </a:xfrm>
          <a:prstGeom prst="rect">
            <a:avLst/>
          </a:prstGeom>
          <a:noFill/>
          <a:ln w="9525">
            <a:solidFill>
              <a:srgbClr val="000000"/>
            </a:solidFill>
            <a:miter lim="800000"/>
            <a:headEnd/>
            <a:tailEnd/>
          </a:ln>
        </xdr:spPr>
      </xdr:sp>
      <xdr:sp macro="" textlink="">
        <xdr:nvSpPr>
          <xdr:cNvPr id="4009" name="Line 497">
            <a:extLst>
              <a:ext uri="{FF2B5EF4-FFF2-40B4-BE49-F238E27FC236}">
                <a16:creationId xmlns:a16="http://schemas.microsoft.com/office/drawing/2014/main" id="{00000000-0008-0000-0000-0000A90F0000}"/>
              </a:ext>
            </a:extLst>
          </xdr:cNvPr>
          <xdr:cNvSpPr>
            <a:spLocks noChangeShapeType="1"/>
          </xdr:cNvSpPr>
        </xdr:nvSpPr>
        <xdr:spPr bwMode="auto">
          <a:xfrm>
            <a:off x="4709449" y="23651161"/>
            <a:ext cx="121205" cy="0"/>
          </a:xfrm>
          <a:prstGeom prst="line">
            <a:avLst/>
          </a:prstGeom>
          <a:noFill/>
          <a:ln w="3175">
            <a:solidFill>
              <a:srgbClr val="000000"/>
            </a:solidFill>
            <a:round/>
            <a:headEnd type="diamond" w="med" len="med"/>
            <a:tailEnd type="diamond" w="med" len="med"/>
          </a:ln>
        </xdr:spPr>
      </xdr:sp>
      <xdr:sp macro="" textlink="">
        <xdr:nvSpPr>
          <xdr:cNvPr id="4010" name="Line 498">
            <a:extLst>
              <a:ext uri="{FF2B5EF4-FFF2-40B4-BE49-F238E27FC236}">
                <a16:creationId xmlns:a16="http://schemas.microsoft.com/office/drawing/2014/main" id="{00000000-0008-0000-0000-0000AA0F0000}"/>
              </a:ext>
            </a:extLst>
          </xdr:cNvPr>
          <xdr:cNvSpPr>
            <a:spLocks noChangeShapeType="1"/>
          </xdr:cNvSpPr>
        </xdr:nvSpPr>
        <xdr:spPr bwMode="auto">
          <a:xfrm>
            <a:off x="4709449" y="23719177"/>
            <a:ext cx="121205" cy="0"/>
          </a:xfrm>
          <a:prstGeom prst="line">
            <a:avLst/>
          </a:prstGeom>
          <a:noFill/>
          <a:ln w="3175">
            <a:solidFill>
              <a:srgbClr val="000000"/>
            </a:solidFill>
            <a:round/>
            <a:headEnd type="diamond" w="med" len="med"/>
            <a:tailEnd type="diamond" w="med" len="med"/>
          </a:ln>
        </xdr:spPr>
      </xdr:sp>
      <xdr:sp macro="" textlink="">
        <xdr:nvSpPr>
          <xdr:cNvPr id="4011" name="Line 499">
            <a:extLst>
              <a:ext uri="{FF2B5EF4-FFF2-40B4-BE49-F238E27FC236}">
                <a16:creationId xmlns:a16="http://schemas.microsoft.com/office/drawing/2014/main" id="{00000000-0008-0000-0000-0000AB0F0000}"/>
              </a:ext>
            </a:extLst>
          </xdr:cNvPr>
          <xdr:cNvSpPr>
            <a:spLocks noChangeShapeType="1"/>
          </xdr:cNvSpPr>
        </xdr:nvSpPr>
        <xdr:spPr bwMode="auto">
          <a:xfrm>
            <a:off x="4709449" y="23794751"/>
            <a:ext cx="121205" cy="0"/>
          </a:xfrm>
          <a:prstGeom prst="line">
            <a:avLst/>
          </a:prstGeom>
          <a:noFill/>
          <a:ln w="3175">
            <a:solidFill>
              <a:srgbClr val="000000"/>
            </a:solidFill>
            <a:round/>
            <a:headEnd type="diamond" w="med" len="med"/>
            <a:tailEnd type="diamond" w="med" len="med"/>
          </a:ln>
        </xdr:spPr>
      </xdr:sp>
      <xdr:sp macro="" textlink="">
        <xdr:nvSpPr>
          <xdr:cNvPr id="4012" name="Line 500">
            <a:extLst>
              <a:ext uri="{FF2B5EF4-FFF2-40B4-BE49-F238E27FC236}">
                <a16:creationId xmlns:a16="http://schemas.microsoft.com/office/drawing/2014/main" id="{00000000-0008-0000-0000-0000AC0F0000}"/>
              </a:ext>
            </a:extLst>
          </xdr:cNvPr>
          <xdr:cNvSpPr>
            <a:spLocks noChangeShapeType="1"/>
          </xdr:cNvSpPr>
        </xdr:nvSpPr>
        <xdr:spPr bwMode="auto">
          <a:xfrm>
            <a:off x="4709449" y="23938342"/>
            <a:ext cx="121205" cy="0"/>
          </a:xfrm>
          <a:prstGeom prst="line">
            <a:avLst/>
          </a:prstGeom>
          <a:noFill/>
          <a:ln w="3175">
            <a:solidFill>
              <a:srgbClr val="000000"/>
            </a:solidFill>
            <a:round/>
            <a:headEnd type="diamond" w="med" len="med"/>
            <a:tailEnd type="diamond" w="med" len="med"/>
          </a:ln>
        </xdr:spPr>
      </xdr:sp>
      <xdr:sp macro="" textlink="">
        <xdr:nvSpPr>
          <xdr:cNvPr id="4013" name="Line 501">
            <a:extLst>
              <a:ext uri="{FF2B5EF4-FFF2-40B4-BE49-F238E27FC236}">
                <a16:creationId xmlns:a16="http://schemas.microsoft.com/office/drawing/2014/main" id="{00000000-0008-0000-0000-0000AD0F0000}"/>
              </a:ext>
            </a:extLst>
          </xdr:cNvPr>
          <xdr:cNvSpPr>
            <a:spLocks noChangeShapeType="1"/>
          </xdr:cNvSpPr>
        </xdr:nvSpPr>
        <xdr:spPr bwMode="auto">
          <a:xfrm>
            <a:off x="4709449" y="23424438"/>
            <a:ext cx="121205" cy="0"/>
          </a:xfrm>
          <a:prstGeom prst="line">
            <a:avLst/>
          </a:prstGeom>
          <a:noFill/>
          <a:ln w="3175">
            <a:solidFill>
              <a:srgbClr val="000000"/>
            </a:solidFill>
            <a:round/>
            <a:headEnd type="diamond" w="med" len="med"/>
            <a:tailEnd type="diamond" w="med" len="med"/>
          </a:ln>
        </xdr:spPr>
      </xdr:sp>
      <xdr:sp macro="" textlink="">
        <xdr:nvSpPr>
          <xdr:cNvPr id="4014" name="Line 502">
            <a:extLst>
              <a:ext uri="{FF2B5EF4-FFF2-40B4-BE49-F238E27FC236}">
                <a16:creationId xmlns:a16="http://schemas.microsoft.com/office/drawing/2014/main" id="{00000000-0008-0000-0000-0000AE0F0000}"/>
              </a:ext>
            </a:extLst>
          </xdr:cNvPr>
          <xdr:cNvSpPr>
            <a:spLocks noChangeShapeType="1"/>
          </xdr:cNvSpPr>
        </xdr:nvSpPr>
        <xdr:spPr bwMode="auto">
          <a:xfrm>
            <a:off x="4709449" y="23500013"/>
            <a:ext cx="121205" cy="0"/>
          </a:xfrm>
          <a:prstGeom prst="line">
            <a:avLst/>
          </a:prstGeom>
          <a:noFill/>
          <a:ln w="3175">
            <a:solidFill>
              <a:srgbClr val="000000"/>
            </a:solidFill>
            <a:round/>
            <a:headEnd type="diamond" w="med" len="med"/>
            <a:tailEnd type="diamond" w="med" len="med"/>
          </a:ln>
        </xdr:spPr>
      </xdr:sp>
      <xdr:sp macro="" textlink="">
        <xdr:nvSpPr>
          <xdr:cNvPr id="4015" name="Line 503">
            <a:extLst>
              <a:ext uri="{FF2B5EF4-FFF2-40B4-BE49-F238E27FC236}">
                <a16:creationId xmlns:a16="http://schemas.microsoft.com/office/drawing/2014/main" id="{00000000-0008-0000-0000-0000AF0F0000}"/>
              </a:ext>
            </a:extLst>
          </xdr:cNvPr>
          <xdr:cNvSpPr>
            <a:spLocks noChangeShapeType="1"/>
          </xdr:cNvSpPr>
        </xdr:nvSpPr>
        <xdr:spPr bwMode="auto">
          <a:xfrm>
            <a:off x="4709449" y="23575587"/>
            <a:ext cx="121205" cy="0"/>
          </a:xfrm>
          <a:prstGeom prst="line">
            <a:avLst/>
          </a:prstGeom>
          <a:noFill/>
          <a:ln w="3175">
            <a:solidFill>
              <a:srgbClr val="000000"/>
            </a:solidFill>
            <a:round/>
            <a:headEnd type="diamond" w="med" len="med"/>
            <a:tailEnd type="diamond" w="med" len="med"/>
          </a:ln>
        </xdr:spPr>
      </xdr:sp>
      <xdr:sp macro="" textlink="">
        <xdr:nvSpPr>
          <xdr:cNvPr id="4016" name="Line 506">
            <a:extLst>
              <a:ext uri="{FF2B5EF4-FFF2-40B4-BE49-F238E27FC236}">
                <a16:creationId xmlns:a16="http://schemas.microsoft.com/office/drawing/2014/main" id="{00000000-0008-0000-0000-0000B00F0000}"/>
              </a:ext>
            </a:extLst>
          </xdr:cNvPr>
          <xdr:cNvSpPr>
            <a:spLocks noChangeShapeType="1"/>
          </xdr:cNvSpPr>
        </xdr:nvSpPr>
        <xdr:spPr bwMode="auto">
          <a:xfrm>
            <a:off x="4709449" y="23870325"/>
            <a:ext cx="121205" cy="0"/>
          </a:xfrm>
          <a:prstGeom prst="line">
            <a:avLst/>
          </a:prstGeom>
          <a:noFill/>
          <a:ln w="3175">
            <a:solidFill>
              <a:srgbClr val="000000"/>
            </a:solidFill>
            <a:round/>
            <a:headEnd type="diamond" w="med" len="med"/>
            <a:tailEnd type="diamond" w="med" len="med"/>
          </a:ln>
        </xdr:spPr>
      </xdr:sp>
      <xdr:sp macro="" textlink="">
        <xdr:nvSpPr>
          <xdr:cNvPr id="1003" name="Text Box 541">
            <a:extLst>
              <a:ext uri="{FF2B5EF4-FFF2-40B4-BE49-F238E27FC236}">
                <a16:creationId xmlns:a16="http://schemas.microsoft.com/office/drawing/2014/main" id="{00000000-0008-0000-0000-0000EB030000}"/>
              </a:ext>
            </a:extLst>
          </xdr:cNvPr>
          <xdr:cNvSpPr txBox="1">
            <a:spLocks noChangeArrowheads="1"/>
          </xdr:cNvSpPr>
        </xdr:nvSpPr>
        <xdr:spPr bwMode="auto">
          <a:xfrm>
            <a:off x="2817387" y="24539781"/>
            <a:ext cx="2203777" cy="161858"/>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Case II (Vertical Acceleration Up (</a:t>
            </a:r>
            <a:r>
              <a:rPr lang="en-US" sz="900" b="0" i="0" strike="noStrike">
                <a:solidFill>
                  <a:srgbClr val="000000"/>
                </a:solidFill>
                <a:latin typeface="Symbol"/>
              </a:rPr>
              <a:t>a</a:t>
            </a:r>
            <a:r>
              <a:rPr lang="en-US" sz="900" b="0" i="0" strike="noStrike" baseline="-25000">
                <a:solidFill>
                  <a:srgbClr val="000000"/>
                </a:solidFill>
                <a:latin typeface="Arial"/>
                <a:cs typeface="Arial"/>
              </a:rPr>
              <a:t>v</a:t>
            </a:r>
            <a:r>
              <a:rPr lang="en-US" sz="900" b="0" i="0" strike="noStrike">
                <a:solidFill>
                  <a:srgbClr val="000000"/>
                </a:solidFill>
                <a:latin typeface="Arial"/>
                <a:cs typeface="Arial"/>
              </a:rPr>
              <a:t>)</a:t>
            </a:r>
          </a:p>
        </xdr:txBody>
      </xdr:sp>
      <xdr:cxnSp macro="">
        <xdr:nvCxnSpPr>
          <xdr:cNvPr id="1007" name="Straight Connector 1006">
            <a:extLst>
              <a:ext uri="{FF2B5EF4-FFF2-40B4-BE49-F238E27FC236}">
                <a16:creationId xmlns:a16="http://schemas.microsoft.com/office/drawing/2014/main" id="{00000000-0008-0000-0000-0000EF030000}"/>
              </a:ext>
            </a:extLst>
          </xdr:cNvPr>
          <xdr:cNvCxnSpPr>
            <a:stCxn id="3950" idx="0"/>
          </xdr:cNvCxnSpPr>
        </xdr:nvCxnSpPr>
        <xdr:spPr>
          <a:xfrm rot="5400000" flipH="1" flipV="1">
            <a:off x="1923029" y="23007262"/>
            <a:ext cx="0" cy="76094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09" name="Straight Connector 1008">
            <a:extLst>
              <a:ext uri="{FF2B5EF4-FFF2-40B4-BE49-F238E27FC236}">
                <a16:creationId xmlns:a16="http://schemas.microsoft.com/office/drawing/2014/main" id="{00000000-0008-0000-0000-0000F1030000}"/>
              </a:ext>
            </a:extLst>
          </xdr:cNvPr>
          <xdr:cNvCxnSpPr/>
        </xdr:nvCxnSpPr>
        <xdr:spPr>
          <a:xfrm rot="5400000" flipH="1" flipV="1">
            <a:off x="4265160" y="22997379"/>
            <a:ext cx="0" cy="78071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23" name="Rectangle 1022">
            <a:extLst>
              <a:ext uri="{FF2B5EF4-FFF2-40B4-BE49-F238E27FC236}">
                <a16:creationId xmlns:a16="http://schemas.microsoft.com/office/drawing/2014/main" id="{00000000-0008-0000-0000-0000FF030000}"/>
              </a:ext>
            </a:extLst>
          </xdr:cNvPr>
          <xdr:cNvSpPr/>
        </xdr:nvSpPr>
        <xdr:spPr>
          <a:xfrm>
            <a:off x="1582086" y="23216356"/>
            <a:ext cx="721416" cy="171379"/>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xnSp macro="">
        <xdr:nvCxnSpPr>
          <xdr:cNvPr id="1038" name="Straight Connector 1037">
            <a:extLst>
              <a:ext uri="{FF2B5EF4-FFF2-40B4-BE49-F238E27FC236}">
                <a16:creationId xmlns:a16="http://schemas.microsoft.com/office/drawing/2014/main" id="{00000000-0008-0000-0000-00000E040000}"/>
              </a:ext>
            </a:extLst>
          </xdr:cNvPr>
          <xdr:cNvCxnSpPr/>
        </xdr:nvCxnSpPr>
        <xdr:spPr>
          <a:xfrm rot="5400000">
            <a:off x="1614624" y="23311566"/>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39" name="Straight Connector 1038">
            <a:extLst>
              <a:ext uri="{FF2B5EF4-FFF2-40B4-BE49-F238E27FC236}">
                <a16:creationId xmlns:a16="http://schemas.microsoft.com/office/drawing/2014/main" id="{00000000-0008-0000-0000-00000F040000}"/>
              </a:ext>
            </a:extLst>
          </xdr:cNvPr>
          <xdr:cNvCxnSpPr/>
        </xdr:nvCxnSpPr>
        <xdr:spPr>
          <a:xfrm rot="5400000">
            <a:off x="1723330" y="23311566"/>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0" name="Straight Connector 1039">
            <a:extLst>
              <a:ext uri="{FF2B5EF4-FFF2-40B4-BE49-F238E27FC236}">
                <a16:creationId xmlns:a16="http://schemas.microsoft.com/office/drawing/2014/main" id="{00000000-0008-0000-0000-000010040000}"/>
              </a:ext>
            </a:extLst>
          </xdr:cNvPr>
          <xdr:cNvCxnSpPr/>
        </xdr:nvCxnSpPr>
        <xdr:spPr>
          <a:xfrm rot="5400000">
            <a:off x="1827096" y="23297104"/>
            <a:ext cx="152337" cy="988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1" name="Straight Connector 1040">
            <a:extLst>
              <a:ext uri="{FF2B5EF4-FFF2-40B4-BE49-F238E27FC236}">
                <a16:creationId xmlns:a16="http://schemas.microsoft.com/office/drawing/2014/main" id="{00000000-0008-0000-0000-000011040000}"/>
              </a:ext>
            </a:extLst>
          </xdr:cNvPr>
          <xdr:cNvCxnSpPr/>
        </xdr:nvCxnSpPr>
        <xdr:spPr>
          <a:xfrm rot="5400000">
            <a:off x="1930861" y="23311566"/>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2" name="Straight Connector 1041">
            <a:extLst>
              <a:ext uri="{FF2B5EF4-FFF2-40B4-BE49-F238E27FC236}">
                <a16:creationId xmlns:a16="http://schemas.microsoft.com/office/drawing/2014/main" id="{00000000-0008-0000-0000-000012040000}"/>
              </a:ext>
            </a:extLst>
          </xdr:cNvPr>
          <xdr:cNvCxnSpPr/>
        </xdr:nvCxnSpPr>
        <xdr:spPr>
          <a:xfrm rot="5400000">
            <a:off x="2034445" y="23297285"/>
            <a:ext cx="14281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3" name="Straight Connector 1042">
            <a:extLst>
              <a:ext uri="{FF2B5EF4-FFF2-40B4-BE49-F238E27FC236}">
                <a16:creationId xmlns:a16="http://schemas.microsoft.com/office/drawing/2014/main" id="{00000000-0008-0000-0000-000013040000}"/>
              </a:ext>
            </a:extLst>
          </xdr:cNvPr>
          <xdr:cNvCxnSpPr/>
        </xdr:nvCxnSpPr>
        <xdr:spPr>
          <a:xfrm rot="5400000">
            <a:off x="2128509" y="23311566"/>
            <a:ext cx="152337"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44" name="Rectangle 1043">
            <a:extLst>
              <a:ext uri="{FF2B5EF4-FFF2-40B4-BE49-F238E27FC236}">
                <a16:creationId xmlns:a16="http://schemas.microsoft.com/office/drawing/2014/main" id="{00000000-0008-0000-0000-000014040000}"/>
              </a:ext>
            </a:extLst>
          </xdr:cNvPr>
          <xdr:cNvSpPr/>
        </xdr:nvSpPr>
        <xdr:spPr>
          <a:xfrm>
            <a:off x="3894569" y="23206835"/>
            <a:ext cx="721416" cy="171379"/>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xnSp macro="">
        <xdr:nvCxnSpPr>
          <xdr:cNvPr id="1045" name="Straight Connector 1044">
            <a:extLst>
              <a:ext uri="{FF2B5EF4-FFF2-40B4-BE49-F238E27FC236}">
                <a16:creationId xmlns:a16="http://schemas.microsoft.com/office/drawing/2014/main" id="{00000000-0008-0000-0000-000015040000}"/>
              </a:ext>
            </a:extLst>
          </xdr:cNvPr>
          <xdr:cNvCxnSpPr/>
        </xdr:nvCxnSpPr>
        <xdr:spPr>
          <a:xfrm rot="5400000">
            <a:off x="3927107" y="23283003"/>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6" name="Straight Connector 1045">
            <a:extLst>
              <a:ext uri="{FF2B5EF4-FFF2-40B4-BE49-F238E27FC236}">
                <a16:creationId xmlns:a16="http://schemas.microsoft.com/office/drawing/2014/main" id="{00000000-0008-0000-0000-000016040000}"/>
              </a:ext>
            </a:extLst>
          </xdr:cNvPr>
          <xdr:cNvCxnSpPr/>
        </xdr:nvCxnSpPr>
        <xdr:spPr>
          <a:xfrm rot="5400000">
            <a:off x="4035814" y="23292524"/>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7" name="Straight Connector 1046">
            <a:extLst>
              <a:ext uri="{FF2B5EF4-FFF2-40B4-BE49-F238E27FC236}">
                <a16:creationId xmlns:a16="http://schemas.microsoft.com/office/drawing/2014/main" id="{00000000-0008-0000-0000-000017040000}"/>
              </a:ext>
            </a:extLst>
          </xdr:cNvPr>
          <xdr:cNvCxnSpPr/>
        </xdr:nvCxnSpPr>
        <xdr:spPr>
          <a:xfrm rot="5400000">
            <a:off x="4144520" y="23283003"/>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8" name="Straight Connector 1047">
            <a:extLst>
              <a:ext uri="{FF2B5EF4-FFF2-40B4-BE49-F238E27FC236}">
                <a16:creationId xmlns:a16="http://schemas.microsoft.com/office/drawing/2014/main" id="{00000000-0008-0000-0000-000018040000}"/>
              </a:ext>
            </a:extLst>
          </xdr:cNvPr>
          <xdr:cNvCxnSpPr/>
        </xdr:nvCxnSpPr>
        <xdr:spPr>
          <a:xfrm rot="5400000">
            <a:off x="4253227" y="23283003"/>
            <a:ext cx="15233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9" name="Straight Connector 1048">
            <a:extLst>
              <a:ext uri="{FF2B5EF4-FFF2-40B4-BE49-F238E27FC236}">
                <a16:creationId xmlns:a16="http://schemas.microsoft.com/office/drawing/2014/main" id="{00000000-0008-0000-0000-000019040000}"/>
              </a:ext>
            </a:extLst>
          </xdr:cNvPr>
          <xdr:cNvCxnSpPr/>
        </xdr:nvCxnSpPr>
        <xdr:spPr>
          <a:xfrm rot="5400000">
            <a:off x="4356811" y="23287764"/>
            <a:ext cx="14281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50" name="Straight Connector 1049">
            <a:extLst>
              <a:ext uri="{FF2B5EF4-FFF2-40B4-BE49-F238E27FC236}">
                <a16:creationId xmlns:a16="http://schemas.microsoft.com/office/drawing/2014/main" id="{00000000-0008-0000-0000-00001A040000}"/>
              </a:ext>
            </a:extLst>
          </xdr:cNvPr>
          <xdr:cNvCxnSpPr/>
        </xdr:nvCxnSpPr>
        <xdr:spPr>
          <a:xfrm rot="5400000">
            <a:off x="4445934" y="23287583"/>
            <a:ext cx="152337" cy="9882"/>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a:off x="475256" y="24016124"/>
            <a:ext cx="830122" cy="30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g</a:t>
            </a:r>
            <a:r>
              <a:rPr lang="en-IN" sz="1100" baseline="0"/>
              <a:t>' = (g+</a:t>
            </a:r>
            <a:r>
              <a:rPr lang="en-IN" sz="1100" baseline="0">
                <a:latin typeface="Symbol" pitchFamily="18" charset="2"/>
              </a:rPr>
              <a:t>a</a:t>
            </a:r>
            <a:r>
              <a:rPr lang="en-IN" sz="1100" baseline="-25000"/>
              <a:t>v</a:t>
            </a:r>
            <a:r>
              <a:rPr lang="en-IN" sz="1100" baseline="0"/>
              <a:t>)</a:t>
            </a:r>
            <a:endParaRPr lang="en-IN" sz="1100"/>
          </a:p>
        </xdr:txBody>
      </xdr:sp>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a:off x="2698798" y="24044687"/>
            <a:ext cx="830122" cy="304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g</a:t>
            </a:r>
            <a:r>
              <a:rPr lang="en-IN" sz="1100" baseline="0"/>
              <a:t>' = (g-</a:t>
            </a:r>
            <a:r>
              <a:rPr lang="en-IN" sz="1100" baseline="0">
                <a:latin typeface="Symbol" pitchFamily="18" charset="2"/>
              </a:rPr>
              <a:t>a</a:t>
            </a:r>
            <a:r>
              <a:rPr lang="en-IN" sz="1100" baseline="-25000"/>
              <a:t>v</a:t>
            </a:r>
            <a:r>
              <a:rPr lang="en-IN" sz="1100" baseline="0"/>
              <a:t>)</a:t>
            </a:r>
            <a:endParaRPr lang="en-IN" sz="1100"/>
          </a:p>
        </xdr:txBody>
      </xdr:sp>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a:off x="2718562" y="23235398"/>
            <a:ext cx="770828" cy="561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800"/>
              <a:t>In earthquake Soil Pressure</a:t>
            </a:r>
            <a:r>
              <a:rPr lang="en-IN" sz="800" baseline="0"/>
              <a:t> above G.L increase by</a:t>
            </a:r>
            <a:r>
              <a:rPr lang="en-IN" sz="800" baseline="0">
                <a:latin typeface="Symbol" pitchFamily="18" charset="2"/>
              </a:rPr>
              <a:t> i</a:t>
            </a:r>
            <a:endParaRPr lang="en-IN" sz="800">
              <a:latin typeface="Symbol" pitchFamily="18" charset="2"/>
            </a:endParaRPr>
          </a:p>
        </xdr:txBody>
      </xdr:sp>
    </xdr:grpSp>
    <xdr:clientData/>
  </xdr:twoCellAnchor>
  <xdr:twoCellAnchor>
    <xdr:from>
      <xdr:col>4</xdr:col>
      <xdr:colOff>28575</xdr:colOff>
      <xdr:row>172</xdr:row>
      <xdr:rowOff>171450</xdr:rowOff>
    </xdr:from>
    <xdr:to>
      <xdr:col>4</xdr:col>
      <xdr:colOff>323850</xdr:colOff>
      <xdr:row>174</xdr:row>
      <xdr:rowOff>0</xdr:rowOff>
    </xdr:to>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a:off x="2466975" y="25041225"/>
          <a:ext cx="295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4</xdr:col>
      <xdr:colOff>592243</xdr:colOff>
      <xdr:row>205</xdr:row>
      <xdr:rowOff>25847</xdr:rowOff>
    </xdr:from>
    <xdr:to>
      <xdr:col>5</xdr:col>
      <xdr:colOff>317282</xdr:colOff>
      <xdr:row>206</xdr:row>
      <xdr:rowOff>129697</xdr:rowOff>
    </xdr:to>
    <xdr:sp macro="" textlink="">
      <xdr:nvSpPr>
        <xdr:cNvPr id="1062" name="Text Box 8517">
          <a:extLst>
            <a:ext uri="{FF2B5EF4-FFF2-40B4-BE49-F238E27FC236}">
              <a16:creationId xmlns:a16="http://schemas.microsoft.com/office/drawing/2014/main" id="{00000000-0008-0000-0000-000026040000}"/>
            </a:ext>
          </a:extLst>
        </xdr:cNvPr>
        <xdr:cNvSpPr txBox="1">
          <a:spLocks noChangeArrowheads="1"/>
        </xdr:cNvSpPr>
      </xdr:nvSpPr>
      <xdr:spPr bwMode="auto">
        <a:xfrm>
          <a:off x="3060460" y="31499760"/>
          <a:ext cx="337952" cy="294350"/>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r>
            <a:rPr lang="en-US" sz="900" b="0" i="0" strike="noStrike" baseline="0">
              <a:solidFill>
                <a:srgbClr val="000000"/>
              </a:solidFill>
              <a:latin typeface="Calibri"/>
              <a:cs typeface="Calibri"/>
            </a:rPr>
            <a:t> </a:t>
          </a:r>
        </a:p>
      </xdr:txBody>
    </xdr:sp>
    <xdr:clientData/>
  </xdr:twoCellAnchor>
  <xdr:twoCellAnchor>
    <xdr:from>
      <xdr:col>0</xdr:col>
      <xdr:colOff>142875</xdr:colOff>
      <xdr:row>196</xdr:row>
      <xdr:rowOff>180975</xdr:rowOff>
    </xdr:from>
    <xdr:to>
      <xdr:col>9</xdr:col>
      <xdr:colOff>57150</xdr:colOff>
      <xdr:row>206</xdr:row>
      <xdr:rowOff>19050</xdr:rowOff>
    </xdr:to>
    <xdr:grpSp>
      <xdr:nvGrpSpPr>
        <xdr:cNvPr id="3093" name="Group 1406">
          <a:extLst>
            <a:ext uri="{FF2B5EF4-FFF2-40B4-BE49-F238E27FC236}">
              <a16:creationId xmlns:a16="http://schemas.microsoft.com/office/drawing/2014/main" id="{00000000-0008-0000-0000-0000150C0000}"/>
            </a:ext>
          </a:extLst>
        </xdr:cNvPr>
        <xdr:cNvGrpSpPr>
          <a:grpSpLocks/>
        </xdr:cNvGrpSpPr>
      </xdr:nvGrpSpPr>
      <xdr:grpSpPr bwMode="auto">
        <a:xfrm>
          <a:off x="142875" y="39309675"/>
          <a:ext cx="5476875" cy="1743075"/>
          <a:chOff x="146107" y="29938779"/>
          <a:chExt cx="5446979" cy="1742205"/>
        </a:xfrm>
      </xdr:grpSpPr>
      <xdr:sp macro="" textlink="">
        <xdr:nvSpPr>
          <xdr:cNvPr id="3850" name="Rectangle 613">
            <a:extLst>
              <a:ext uri="{FF2B5EF4-FFF2-40B4-BE49-F238E27FC236}">
                <a16:creationId xmlns:a16="http://schemas.microsoft.com/office/drawing/2014/main" id="{00000000-0008-0000-0000-00000A0F0000}"/>
              </a:ext>
            </a:extLst>
          </xdr:cNvPr>
          <xdr:cNvSpPr>
            <a:spLocks noChangeArrowheads="1"/>
          </xdr:cNvSpPr>
        </xdr:nvSpPr>
        <xdr:spPr bwMode="auto">
          <a:xfrm>
            <a:off x="2066474" y="30350856"/>
            <a:ext cx="367800" cy="679892"/>
          </a:xfrm>
          <a:prstGeom prst="rect">
            <a:avLst/>
          </a:prstGeom>
          <a:solidFill>
            <a:srgbClr val="FFFFFF"/>
          </a:solidFill>
          <a:ln w="28575" algn="ctr">
            <a:solidFill>
              <a:srgbClr val="000000"/>
            </a:solidFill>
            <a:miter lim="800000"/>
            <a:headEnd/>
            <a:tailEnd/>
          </a:ln>
        </xdr:spPr>
      </xdr:sp>
      <xdr:cxnSp macro="">
        <xdr:nvCxnSpPr>
          <xdr:cNvPr id="3851" name="Straight Arrow Connector 618">
            <a:extLst>
              <a:ext uri="{FF2B5EF4-FFF2-40B4-BE49-F238E27FC236}">
                <a16:creationId xmlns:a16="http://schemas.microsoft.com/office/drawing/2014/main" id="{00000000-0008-0000-0000-00000B0F0000}"/>
              </a:ext>
            </a:extLst>
          </xdr:cNvPr>
          <xdr:cNvCxnSpPr>
            <a:cxnSpLocks noChangeShapeType="1"/>
          </xdr:cNvCxnSpPr>
        </xdr:nvCxnSpPr>
        <xdr:spPr bwMode="auto">
          <a:xfrm rot="10800000" flipV="1">
            <a:off x="2066474" y="30641792"/>
            <a:ext cx="1042098" cy="5811"/>
          </a:xfrm>
          <a:prstGeom prst="straightConnector1">
            <a:avLst/>
          </a:prstGeom>
          <a:noFill/>
          <a:ln w="28575" algn="ctr">
            <a:solidFill>
              <a:srgbClr val="4A7EBB"/>
            </a:solidFill>
            <a:round/>
            <a:headEnd/>
            <a:tailEnd type="arrow" w="med" len="med"/>
          </a:ln>
        </xdr:spPr>
      </xdr:cxnSp>
      <xdr:sp macro="" textlink="">
        <xdr:nvSpPr>
          <xdr:cNvPr id="822" name="Text Box 8517">
            <a:extLst>
              <a:ext uri="{FF2B5EF4-FFF2-40B4-BE49-F238E27FC236}">
                <a16:creationId xmlns:a16="http://schemas.microsoft.com/office/drawing/2014/main" id="{00000000-0008-0000-0000-000036030000}"/>
              </a:ext>
            </a:extLst>
          </xdr:cNvPr>
          <xdr:cNvSpPr txBox="1">
            <a:spLocks noChangeArrowheads="1"/>
          </xdr:cNvSpPr>
        </xdr:nvSpPr>
        <xdr:spPr bwMode="auto">
          <a:xfrm>
            <a:off x="2051114" y="31024087"/>
            <a:ext cx="622238" cy="333209"/>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k</a:t>
            </a:r>
            <a:r>
              <a:rPr lang="en-US" sz="1100" b="0" i="0" strike="noStrike" baseline="-25000">
                <a:solidFill>
                  <a:srgbClr val="000000"/>
                </a:solidFill>
                <a:latin typeface="Calibri"/>
                <a:cs typeface="Calibri"/>
              </a:rPr>
              <a:t>i</a:t>
            </a:r>
            <a:r>
              <a:rPr lang="en-US" sz="1100" b="0" i="0" strike="noStrike">
                <a:solidFill>
                  <a:srgbClr val="000000"/>
                </a:solidFill>
                <a:latin typeface="Calibri"/>
                <a:cs typeface="Calibri"/>
              </a:rPr>
              <a:t> </a:t>
            </a:r>
            <a:r>
              <a:rPr lang="en-US" sz="1100" b="0" i="0" strike="noStrike">
                <a:solidFill>
                  <a:srgbClr val="000000"/>
                </a:solidFill>
                <a:latin typeface="Symbol"/>
              </a:rPr>
              <a:t>g</a:t>
            </a:r>
            <a:r>
              <a:rPr lang="en-US" sz="1100" b="0" i="0" strike="noStrike" baseline="-25000">
                <a:solidFill>
                  <a:srgbClr val="000000"/>
                </a:solidFill>
                <a:latin typeface="Calibri"/>
                <a:cs typeface="Calibri"/>
              </a:rPr>
              <a:t>s</a:t>
            </a:r>
            <a:r>
              <a:rPr lang="en-US" sz="1100" b="0" i="0" strike="noStrike">
                <a:solidFill>
                  <a:srgbClr val="000000"/>
                </a:solidFill>
                <a:latin typeface="Calibri"/>
                <a:cs typeface="Calibri"/>
              </a:rPr>
              <a:t>S</a:t>
            </a:r>
            <a:r>
              <a:rPr lang="en-US" sz="1100" b="0" i="0" strike="noStrike" baseline="-25000">
                <a:solidFill>
                  <a:srgbClr val="000000"/>
                </a:solidFill>
                <a:latin typeface="Calibri"/>
                <a:cs typeface="Calibri"/>
              </a:rPr>
              <a:t>h</a:t>
            </a:r>
          </a:p>
        </xdr:txBody>
      </xdr:sp>
      <xdr:sp macro="" textlink="">
        <xdr:nvSpPr>
          <xdr:cNvPr id="3853" name="Line 8973">
            <a:extLst>
              <a:ext uri="{FF2B5EF4-FFF2-40B4-BE49-F238E27FC236}">
                <a16:creationId xmlns:a16="http://schemas.microsoft.com/office/drawing/2014/main" id="{00000000-0008-0000-0000-00000D0F0000}"/>
              </a:ext>
            </a:extLst>
          </xdr:cNvPr>
          <xdr:cNvSpPr>
            <a:spLocks noChangeShapeType="1"/>
          </xdr:cNvSpPr>
        </xdr:nvSpPr>
        <xdr:spPr bwMode="auto">
          <a:xfrm flipH="1">
            <a:off x="2084864" y="30408781"/>
            <a:ext cx="312630" cy="0"/>
          </a:xfrm>
          <a:prstGeom prst="line">
            <a:avLst/>
          </a:prstGeom>
          <a:noFill/>
          <a:ln w="9525">
            <a:solidFill>
              <a:srgbClr val="000000"/>
            </a:solidFill>
            <a:round/>
            <a:headEnd/>
            <a:tailEnd type="arrow" w="med" len="med"/>
          </a:ln>
        </xdr:spPr>
      </xdr:sp>
      <xdr:sp macro="" textlink="">
        <xdr:nvSpPr>
          <xdr:cNvPr id="3854" name="Line 8975">
            <a:extLst>
              <a:ext uri="{FF2B5EF4-FFF2-40B4-BE49-F238E27FC236}">
                <a16:creationId xmlns:a16="http://schemas.microsoft.com/office/drawing/2014/main" id="{00000000-0008-0000-0000-00000E0F0000}"/>
              </a:ext>
            </a:extLst>
          </xdr:cNvPr>
          <xdr:cNvSpPr>
            <a:spLocks noChangeShapeType="1"/>
          </xdr:cNvSpPr>
        </xdr:nvSpPr>
        <xdr:spPr bwMode="auto">
          <a:xfrm flipH="1">
            <a:off x="2090993" y="30505373"/>
            <a:ext cx="312630" cy="0"/>
          </a:xfrm>
          <a:prstGeom prst="line">
            <a:avLst/>
          </a:prstGeom>
          <a:noFill/>
          <a:ln w="9525">
            <a:solidFill>
              <a:srgbClr val="000000"/>
            </a:solidFill>
            <a:round/>
            <a:headEnd/>
            <a:tailEnd type="arrow" w="med" len="med"/>
          </a:ln>
        </xdr:spPr>
      </xdr:sp>
      <xdr:sp macro="" textlink="">
        <xdr:nvSpPr>
          <xdr:cNvPr id="3855" name="Line 8977">
            <a:extLst>
              <a:ext uri="{FF2B5EF4-FFF2-40B4-BE49-F238E27FC236}">
                <a16:creationId xmlns:a16="http://schemas.microsoft.com/office/drawing/2014/main" id="{00000000-0008-0000-0000-00000F0F0000}"/>
              </a:ext>
            </a:extLst>
          </xdr:cNvPr>
          <xdr:cNvSpPr>
            <a:spLocks noChangeShapeType="1"/>
          </xdr:cNvSpPr>
        </xdr:nvSpPr>
        <xdr:spPr bwMode="auto">
          <a:xfrm flipH="1">
            <a:off x="2090993" y="30601965"/>
            <a:ext cx="312630" cy="0"/>
          </a:xfrm>
          <a:prstGeom prst="line">
            <a:avLst/>
          </a:prstGeom>
          <a:noFill/>
          <a:ln w="9525">
            <a:solidFill>
              <a:srgbClr val="000000"/>
            </a:solidFill>
            <a:round/>
            <a:headEnd/>
            <a:tailEnd type="arrow" w="med" len="med"/>
          </a:ln>
        </xdr:spPr>
      </xdr:sp>
      <xdr:sp macro="" textlink="">
        <xdr:nvSpPr>
          <xdr:cNvPr id="3856" name="Line 8978">
            <a:extLst>
              <a:ext uri="{FF2B5EF4-FFF2-40B4-BE49-F238E27FC236}">
                <a16:creationId xmlns:a16="http://schemas.microsoft.com/office/drawing/2014/main" id="{00000000-0008-0000-0000-0000100F0000}"/>
              </a:ext>
            </a:extLst>
          </xdr:cNvPr>
          <xdr:cNvSpPr>
            <a:spLocks noChangeShapeType="1"/>
          </xdr:cNvSpPr>
        </xdr:nvSpPr>
        <xdr:spPr bwMode="auto">
          <a:xfrm flipH="1">
            <a:off x="2090993" y="30651819"/>
            <a:ext cx="312630" cy="0"/>
          </a:xfrm>
          <a:prstGeom prst="line">
            <a:avLst/>
          </a:prstGeom>
          <a:noFill/>
          <a:ln w="9525">
            <a:solidFill>
              <a:srgbClr val="000000"/>
            </a:solidFill>
            <a:round/>
            <a:headEnd/>
            <a:tailEnd type="arrow" w="med" len="med"/>
          </a:ln>
        </xdr:spPr>
      </xdr:sp>
      <xdr:sp macro="" textlink="">
        <xdr:nvSpPr>
          <xdr:cNvPr id="3857" name="Line 8980">
            <a:extLst>
              <a:ext uri="{FF2B5EF4-FFF2-40B4-BE49-F238E27FC236}">
                <a16:creationId xmlns:a16="http://schemas.microsoft.com/office/drawing/2014/main" id="{00000000-0008-0000-0000-0000110F0000}"/>
              </a:ext>
            </a:extLst>
          </xdr:cNvPr>
          <xdr:cNvSpPr>
            <a:spLocks noChangeShapeType="1"/>
          </xdr:cNvSpPr>
        </xdr:nvSpPr>
        <xdr:spPr bwMode="auto">
          <a:xfrm flipH="1">
            <a:off x="2090993" y="30778152"/>
            <a:ext cx="312630" cy="0"/>
          </a:xfrm>
          <a:prstGeom prst="line">
            <a:avLst/>
          </a:prstGeom>
          <a:noFill/>
          <a:ln w="9525">
            <a:solidFill>
              <a:srgbClr val="000000"/>
            </a:solidFill>
            <a:round/>
            <a:headEnd/>
            <a:tailEnd type="arrow" w="med" len="med"/>
          </a:ln>
        </xdr:spPr>
      </xdr:sp>
      <xdr:sp macro="" textlink="">
        <xdr:nvSpPr>
          <xdr:cNvPr id="3858" name="Line 8982">
            <a:extLst>
              <a:ext uri="{FF2B5EF4-FFF2-40B4-BE49-F238E27FC236}">
                <a16:creationId xmlns:a16="http://schemas.microsoft.com/office/drawing/2014/main" id="{00000000-0008-0000-0000-0000120F0000}"/>
              </a:ext>
            </a:extLst>
          </xdr:cNvPr>
          <xdr:cNvSpPr>
            <a:spLocks noChangeShapeType="1"/>
          </xdr:cNvSpPr>
        </xdr:nvSpPr>
        <xdr:spPr bwMode="auto">
          <a:xfrm flipH="1">
            <a:off x="2097123" y="30874744"/>
            <a:ext cx="312630" cy="0"/>
          </a:xfrm>
          <a:prstGeom prst="line">
            <a:avLst/>
          </a:prstGeom>
          <a:noFill/>
          <a:ln w="9525">
            <a:solidFill>
              <a:srgbClr val="000000"/>
            </a:solidFill>
            <a:round/>
            <a:headEnd/>
            <a:tailEnd type="arrow" w="med" len="med"/>
          </a:ln>
        </xdr:spPr>
      </xdr:sp>
      <xdr:sp macro="" textlink="">
        <xdr:nvSpPr>
          <xdr:cNvPr id="3859" name="Line 8984">
            <a:extLst>
              <a:ext uri="{FF2B5EF4-FFF2-40B4-BE49-F238E27FC236}">
                <a16:creationId xmlns:a16="http://schemas.microsoft.com/office/drawing/2014/main" id="{00000000-0008-0000-0000-0000130F0000}"/>
              </a:ext>
            </a:extLst>
          </xdr:cNvPr>
          <xdr:cNvSpPr>
            <a:spLocks noChangeShapeType="1"/>
          </xdr:cNvSpPr>
        </xdr:nvSpPr>
        <xdr:spPr bwMode="auto">
          <a:xfrm flipH="1">
            <a:off x="2090993" y="30977568"/>
            <a:ext cx="312630" cy="0"/>
          </a:xfrm>
          <a:prstGeom prst="line">
            <a:avLst/>
          </a:prstGeom>
          <a:noFill/>
          <a:ln w="9525">
            <a:solidFill>
              <a:srgbClr val="000000"/>
            </a:solidFill>
            <a:round/>
            <a:headEnd/>
            <a:tailEnd type="arrow" w="med" len="med"/>
          </a:ln>
        </xdr:spPr>
      </xdr:sp>
      <xdr:sp macro="" textlink="">
        <xdr:nvSpPr>
          <xdr:cNvPr id="3860" name="Right Triangle 610">
            <a:extLst>
              <a:ext uri="{FF2B5EF4-FFF2-40B4-BE49-F238E27FC236}">
                <a16:creationId xmlns:a16="http://schemas.microsoft.com/office/drawing/2014/main" id="{00000000-0008-0000-0000-0000140F0000}"/>
              </a:ext>
            </a:extLst>
          </xdr:cNvPr>
          <xdr:cNvSpPr>
            <a:spLocks noChangeArrowheads="1"/>
          </xdr:cNvSpPr>
        </xdr:nvSpPr>
        <xdr:spPr bwMode="auto">
          <a:xfrm flipV="1">
            <a:off x="3491643" y="30341766"/>
            <a:ext cx="705643" cy="740811"/>
          </a:xfrm>
          <a:prstGeom prst="rtTriangle">
            <a:avLst/>
          </a:prstGeom>
          <a:solidFill>
            <a:srgbClr val="FFFFFF"/>
          </a:solidFill>
          <a:ln w="25400" algn="ctr">
            <a:solidFill>
              <a:srgbClr val="000000"/>
            </a:solidFill>
            <a:miter lim="800000"/>
            <a:headEnd/>
            <a:tailEnd/>
          </a:ln>
        </xdr:spPr>
      </xdr:sp>
      <xdr:cxnSp macro="">
        <xdr:nvCxnSpPr>
          <xdr:cNvPr id="3861" name="Straight Arrow Connector 620">
            <a:extLst>
              <a:ext uri="{FF2B5EF4-FFF2-40B4-BE49-F238E27FC236}">
                <a16:creationId xmlns:a16="http://schemas.microsoft.com/office/drawing/2014/main" id="{00000000-0008-0000-0000-0000150F0000}"/>
              </a:ext>
            </a:extLst>
          </xdr:cNvPr>
          <xdr:cNvCxnSpPr>
            <a:cxnSpLocks noChangeShapeType="1"/>
          </xdr:cNvCxnSpPr>
        </xdr:nvCxnSpPr>
        <xdr:spPr bwMode="auto">
          <a:xfrm rot="10800000">
            <a:off x="3466982" y="30650241"/>
            <a:ext cx="831360" cy="9378"/>
          </a:xfrm>
          <a:prstGeom prst="straightConnector1">
            <a:avLst/>
          </a:prstGeom>
          <a:noFill/>
          <a:ln w="28575" algn="ctr">
            <a:solidFill>
              <a:srgbClr val="4A7EBB"/>
            </a:solidFill>
            <a:round/>
            <a:headEnd/>
            <a:tailEnd type="arrow" w="med" len="med"/>
          </a:ln>
        </xdr:spPr>
      </xdr:cxnSp>
      <xdr:sp macro="" textlink="">
        <xdr:nvSpPr>
          <xdr:cNvPr id="3862" name="Line 8987">
            <a:extLst>
              <a:ext uri="{FF2B5EF4-FFF2-40B4-BE49-F238E27FC236}">
                <a16:creationId xmlns:a16="http://schemas.microsoft.com/office/drawing/2014/main" id="{00000000-0008-0000-0000-0000160F0000}"/>
              </a:ext>
            </a:extLst>
          </xdr:cNvPr>
          <xdr:cNvSpPr>
            <a:spLocks noChangeShapeType="1"/>
          </xdr:cNvSpPr>
        </xdr:nvSpPr>
        <xdr:spPr bwMode="auto">
          <a:xfrm flipH="1" flipV="1">
            <a:off x="3487717" y="30953465"/>
            <a:ext cx="135946" cy="0"/>
          </a:xfrm>
          <a:prstGeom prst="line">
            <a:avLst/>
          </a:prstGeom>
          <a:noFill/>
          <a:ln w="9525">
            <a:solidFill>
              <a:srgbClr val="000000"/>
            </a:solidFill>
            <a:round/>
            <a:headEnd/>
            <a:tailEnd type="arrow" w="med" len="med"/>
          </a:ln>
        </xdr:spPr>
      </xdr:sp>
      <xdr:sp macro="" textlink="">
        <xdr:nvSpPr>
          <xdr:cNvPr id="3863" name="Line 8988">
            <a:extLst>
              <a:ext uri="{FF2B5EF4-FFF2-40B4-BE49-F238E27FC236}">
                <a16:creationId xmlns:a16="http://schemas.microsoft.com/office/drawing/2014/main" id="{00000000-0008-0000-0000-0000170F0000}"/>
              </a:ext>
            </a:extLst>
          </xdr:cNvPr>
          <xdr:cNvSpPr>
            <a:spLocks noChangeShapeType="1"/>
          </xdr:cNvSpPr>
        </xdr:nvSpPr>
        <xdr:spPr bwMode="auto">
          <a:xfrm flipH="1" flipV="1">
            <a:off x="3492946" y="30868044"/>
            <a:ext cx="177775" cy="0"/>
          </a:xfrm>
          <a:prstGeom prst="line">
            <a:avLst/>
          </a:prstGeom>
          <a:noFill/>
          <a:ln w="9525">
            <a:solidFill>
              <a:srgbClr val="000000"/>
            </a:solidFill>
            <a:round/>
            <a:headEnd/>
            <a:tailEnd type="arrow" w="med" len="med"/>
          </a:ln>
        </xdr:spPr>
      </xdr:sp>
      <xdr:sp macro="" textlink="">
        <xdr:nvSpPr>
          <xdr:cNvPr id="3864" name="Line 8990">
            <a:extLst>
              <a:ext uri="{FF2B5EF4-FFF2-40B4-BE49-F238E27FC236}">
                <a16:creationId xmlns:a16="http://schemas.microsoft.com/office/drawing/2014/main" id="{00000000-0008-0000-0000-0000180F0000}"/>
              </a:ext>
            </a:extLst>
          </xdr:cNvPr>
          <xdr:cNvSpPr>
            <a:spLocks noChangeShapeType="1"/>
          </xdr:cNvSpPr>
        </xdr:nvSpPr>
        <xdr:spPr bwMode="auto">
          <a:xfrm flipH="1" flipV="1">
            <a:off x="3492946" y="30764129"/>
            <a:ext cx="266663" cy="0"/>
          </a:xfrm>
          <a:prstGeom prst="line">
            <a:avLst/>
          </a:prstGeom>
          <a:noFill/>
          <a:ln w="9525">
            <a:solidFill>
              <a:srgbClr val="000000"/>
            </a:solidFill>
            <a:round/>
            <a:headEnd/>
            <a:tailEnd type="arrow" w="med" len="med"/>
          </a:ln>
        </xdr:spPr>
      </xdr:sp>
      <xdr:sp macro="" textlink="">
        <xdr:nvSpPr>
          <xdr:cNvPr id="3865" name="Line 8992">
            <a:extLst>
              <a:ext uri="{FF2B5EF4-FFF2-40B4-BE49-F238E27FC236}">
                <a16:creationId xmlns:a16="http://schemas.microsoft.com/office/drawing/2014/main" id="{00000000-0008-0000-0000-0000190F0000}"/>
              </a:ext>
            </a:extLst>
          </xdr:cNvPr>
          <xdr:cNvSpPr>
            <a:spLocks noChangeShapeType="1"/>
          </xdr:cNvSpPr>
        </xdr:nvSpPr>
        <xdr:spPr bwMode="auto">
          <a:xfrm flipH="1" flipV="1">
            <a:off x="3492946" y="30660214"/>
            <a:ext cx="366008" cy="0"/>
          </a:xfrm>
          <a:prstGeom prst="line">
            <a:avLst/>
          </a:prstGeom>
          <a:noFill/>
          <a:ln w="9525">
            <a:solidFill>
              <a:srgbClr val="000000"/>
            </a:solidFill>
            <a:round/>
            <a:headEnd/>
            <a:tailEnd type="arrow" w="med" len="med"/>
          </a:ln>
        </xdr:spPr>
      </xdr:sp>
      <xdr:sp macro="" textlink="">
        <xdr:nvSpPr>
          <xdr:cNvPr id="3866" name="Line 8993">
            <a:extLst>
              <a:ext uri="{FF2B5EF4-FFF2-40B4-BE49-F238E27FC236}">
                <a16:creationId xmlns:a16="http://schemas.microsoft.com/office/drawing/2014/main" id="{00000000-0008-0000-0000-00001A0F0000}"/>
              </a:ext>
            </a:extLst>
          </xdr:cNvPr>
          <xdr:cNvSpPr>
            <a:spLocks noChangeShapeType="1"/>
          </xdr:cNvSpPr>
        </xdr:nvSpPr>
        <xdr:spPr bwMode="auto">
          <a:xfrm flipH="1" flipV="1">
            <a:off x="3492946" y="30606581"/>
            <a:ext cx="402609" cy="0"/>
          </a:xfrm>
          <a:prstGeom prst="line">
            <a:avLst/>
          </a:prstGeom>
          <a:noFill/>
          <a:ln w="9525">
            <a:solidFill>
              <a:srgbClr val="000000"/>
            </a:solidFill>
            <a:round/>
            <a:headEnd/>
            <a:tailEnd type="arrow" w="med" len="med"/>
          </a:ln>
        </xdr:spPr>
      </xdr:sp>
      <xdr:sp macro="" textlink="">
        <xdr:nvSpPr>
          <xdr:cNvPr id="3867" name="Line 8995">
            <a:extLst>
              <a:ext uri="{FF2B5EF4-FFF2-40B4-BE49-F238E27FC236}">
                <a16:creationId xmlns:a16="http://schemas.microsoft.com/office/drawing/2014/main" id="{00000000-0008-0000-0000-00001B0F0000}"/>
              </a:ext>
            </a:extLst>
          </xdr:cNvPr>
          <xdr:cNvSpPr>
            <a:spLocks noChangeShapeType="1"/>
          </xdr:cNvSpPr>
        </xdr:nvSpPr>
        <xdr:spPr bwMode="auto">
          <a:xfrm flipH="1" flipV="1">
            <a:off x="3498174" y="30502666"/>
            <a:ext cx="512411" cy="0"/>
          </a:xfrm>
          <a:prstGeom prst="line">
            <a:avLst/>
          </a:prstGeom>
          <a:noFill/>
          <a:ln w="9525">
            <a:solidFill>
              <a:srgbClr val="000000"/>
            </a:solidFill>
            <a:round/>
            <a:headEnd/>
            <a:tailEnd type="arrow" w="med" len="med"/>
          </a:ln>
        </xdr:spPr>
      </xdr:sp>
      <xdr:sp macro="" textlink="">
        <xdr:nvSpPr>
          <xdr:cNvPr id="3868" name="Line 8997">
            <a:extLst>
              <a:ext uri="{FF2B5EF4-FFF2-40B4-BE49-F238E27FC236}">
                <a16:creationId xmlns:a16="http://schemas.microsoft.com/office/drawing/2014/main" id="{00000000-0008-0000-0000-00001C0F0000}"/>
              </a:ext>
            </a:extLst>
          </xdr:cNvPr>
          <xdr:cNvSpPr>
            <a:spLocks noChangeShapeType="1"/>
          </xdr:cNvSpPr>
        </xdr:nvSpPr>
        <xdr:spPr bwMode="auto">
          <a:xfrm flipH="1" flipV="1">
            <a:off x="3492946" y="30392048"/>
            <a:ext cx="611756" cy="0"/>
          </a:xfrm>
          <a:prstGeom prst="line">
            <a:avLst/>
          </a:prstGeom>
          <a:noFill/>
          <a:ln w="9525">
            <a:solidFill>
              <a:srgbClr val="000000"/>
            </a:solidFill>
            <a:round/>
            <a:headEnd/>
            <a:tailEnd type="arrow" w="med" len="med"/>
          </a:ln>
        </xdr:spPr>
      </xdr:sp>
      <xdr:sp macro="" textlink="">
        <xdr:nvSpPr>
          <xdr:cNvPr id="819" name="Text Box 8517">
            <a:extLst>
              <a:ext uri="{FF2B5EF4-FFF2-40B4-BE49-F238E27FC236}">
                <a16:creationId xmlns:a16="http://schemas.microsoft.com/office/drawing/2014/main" id="{00000000-0008-0000-0000-000033030000}"/>
              </a:ext>
            </a:extLst>
          </xdr:cNvPr>
          <xdr:cNvSpPr txBox="1">
            <a:spLocks noChangeArrowheads="1"/>
          </xdr:cNvSpPr>
        </xdr:nvSpPr>
        <xdr:spPr bwMode="auto">
          <a:xfrm flipV="1">
            <a:off x="3630642" y="30100623"/>
            <a:ext cx="526509" cy="257047"/>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k</a:t>
            </a:r>
            <a:r>
              <a:rPr lang="en-US" sz="1100" b="0" i="0" strike="noStrike" baseline="-25000">
                <a:solidFill>
                  <a:srgbClr val="000000"/>
                </a:solidFill>
                <a:latin typeface="Calibri"/>
                <a:cs typeface="Calibri"/>
              </a:rPr>
              <a:t>i </a:t>
            </a:r>
            <a:r>
              <a:rPr lang="en-US" sz="1100" b="0" i="0" strike="noStrike">
                <a:solidFill>
                  <a:srgbClr val="000000"/>
                </a:solidFill>
                <a:latin typeface="Symbol"/>
              </a:rPr>
              <a:t>g</a:t>
            </a:r>
            <a:r>
              <a:rPr lang="en-US" sz="1100" b="0" i="0" strike="noStrike" baseline="-25000">
                <a:solidFill>
                  <a:srgbClr val="000000"/>
                </a:solidFill>
                <a:latin typeface="Calibri"/>
                <a:cs typeface="Calibri"/>
              </a:rPr>
              <a:t>s</a:t>
            </a:r>
            <a:r>
              <a:rPr lang="en-US" sz="1100" b="0" i="0" strike="noStrike">
                <a:solidFill>
                  <a:srgbClr val="000000"/>
                </a:solidFill>
                <a:latin typeface="Calibri"/>
                <a:cs typeface="Calibri"/>
              </a:rPr>
              <a:t> h</a:t>
            </a:r>
          </a:p>
        </xdr:txBody>
      </xdr:sp>
      <xdr:sp macro="" textlink="">
        <xdr:nvSpPr>
          <xdr:cNvPr id="759" name="Text Box 8510">
            <a:extLst>
              <a:ext uri="{FF2B5EF4-FFF2-40B4-BE49-F238E27FC236}">
                <a16:creationId xmlns:a16="http://schemas.microsoft.com/office/drawing/2014/main" id="{00000000-0008-0000-0000-0000F7020000}"/>
              </a:ext>
            </a:extLst>
          </xdr:cNvPr>
          <xdr:cNvSpPr txBox="1">
            <a:spLocks noChangeArrowheads="1"/>
          </xdr:cNvSpPr>
        </xdr:nvSpPr>
        <xdr:spPr bwMode="auto">
          <a:xfrm>
            <a:off x="4176297" y="30138704"/>
            <a:ext cx="1416789" cy="257047"/>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  P</a:t>
            </a:r>
            <a:r>
              <a:rPr lang="en-US" sz="900" b="0" i="0" strike="noStrike" baseline="-25000">
                <a:solidFill>
                  <a:srgbClr val="000000"/>
                </a:solidFill>
                <a:latin typeface="Arial"/>
                <a:cs typeface="Arial"/>
              </a:rPr>
              <a:t>sp</a:t>
            </a:r>
            <a:r>
              <a:rPr lang="en-US" sz="900" b="0" i="0" strike="noStrike">
                <a:solidFill>
                  <a:srgbClr val="000000"/>
                </a:solidFill>
                <a:latin typeface="Arial"/>
                <a:cs typeface="Arial"/>
              </a:rPr>
              <a:t> = ( 1 / 2 ) Ki </a:t>
            </a:r>
            <a:r>
              <a:rPr lang="en-US" sz="900" b="0" i="0" strike="noStrike">
                <a:solidFill>
                  <a:srgbClr val="000000"/>
                </a:solidFill>
                <a:latin typeface="Symbol"/>
              </a:rPr>
              <a:t>g</a:t>
            </a:r>
            <a:r>
              <a:rPr lang="en-US" sz="900" b="0" i="0" strike="noStrike" baseline="-25000">
                <a:solidFill>
                  <a:srgbClr val="000000"/>
                </a:solidFill>
                <a:latin typeface="Arial"/>
                <a:cs typeface="Arial"/>
              </a:rPr>
              <a:t>s</a:t>
            </a:r>
            <a:r>
              <a:rPr lang="en-US" sz="900" b="0" i="0" strike="noStrike">
                <a:solidFill>
                  <a:srgbClr val="000000"/>
                </a:solidFill>
                <a:latin typeface="Arial"/>
                <a:cs typeface="Arial"/>
              </a:rPr>
              <a:t> h </a:t>
            </a:r>
            <a:r>
              <a:rPr lang="en-US" sz="900" b="0" i="0" strike="noStrike" baseline="30000">
                <a:solidFill>
                  <a:srgbClr val="000000"/>
                </a:solidFill>
                <a:latin typeface="Arial"/>
                <a:cs typeface="Arial"/>
              </a:rPr>
              <a:t>2</a:t>
            </a:r>
          </a:p>
        </xdr:txBody>
      </xdr:sp>
      <xdr:sp macro="" textlink="">
        <xdr:nvSpPr>
          <xdr:cNvPr id="3871" name="Line 279">
            <a:extLst>
              <a:ext uri="{FF2B5EF4-FFF2-40B4-BE49-F238E27FC236}">
                <a16:creationId xmlns:a16="http://schemas.microsoft.com/office/drawing/2014/main" id="{00000000-0008-0000-0000-00001F0F0000}"/>
              </a:ext>
            </a:extLst>
          </xdr:cNvPr>
          <xdr:cNvSpPr>
            <a:spLocks noChangeShapeType="1"/>
          </xdr:cNvSpPr>
        </xdr:nvSpPr>
        <xdr:spPr bwMode="auto">
          <a:xfrm flipH="1">
            <a:off x="206629" y="31355397"/>
            <a:ext cx="587910" cy="154737"/>
          </a:xfrm>
          <a:prstGeom prst="line">
            <a:avLst/>
          </a:prstGeom>
          <a:noFill/>
          <a:ln w="9525">
            <a:solidFill>
              <a:srgbClr val="000000"/>
            </a:solidFill>
            <a:prstDash val="dash"/>
            <a:round/>
            <a:headEnd/>
            <a:tailEnd/>
          </a:ln>
        </xdr:spPr>
      </xdr:sp>
      <xdr:sp macro="" textlink="">
        <xdr:nvSpPr>
          <xdr:cNvPr id="3872" name="Line 280">
            <a:extLst>
              <a:ext uri="{FF2B5EF4-FFF2-40B4-BE49-F238E27FC236}">
                <a16:creationId xmlns:a16="http://schemas.microsoft.com/office/drawing/2014/main" id="{00000000-0008-0000-0000-0000200F0000}"/>
              </a:ext>
            </a:extLst>
          </xdr:cNvPr>
          <xdr:cNvSpPr>
            <a:spLocks noChangeShapeType="1"/>
          </xdr:cNvSpPr>
        </xdr:nvSpPr>
        <xdr:spPr bwMode="auto">
          <a:xfrm>
            <a:off x="1289338" y="31341942"/>
            <a:ext cx="573943" cy="168193"/>
          </a:xfrm>
          <a:prstGeom prst="line">
            <a:avLst/>
          </a:prstGeom>
          <a:noFill/>
          <a:ln w="9525">
            <a:solidFill>
              <a:srgbClr val="000000"/>
            </a:solidFill>
            <a:prstDash val="dash"/>
            <a:round/>
            <a:headEnd/>
            <a:tailEnd/>
          </a:ln>
        </xdr:spPr>
      </xdr:sp>
      <xdr:sp macro="" textlink="">
        <xdr:nvSpPr>
          <xdr:cNvPr id="3873" name="Line 356">
            <a:extLst>
              <a:ext uri="{FF2B5EF4-FFF2-40B4-BE49-F238E27FC236}">
                <a16:creationId xmlns:a16="http://schemas.microsoft.com/office/drawing/2014/main" id="{00000000-0008-0000-0000-0000210F0000}"/>
              </a:ext>
            </a:extLst>
          </xdr:cNvPr>
          <xdr:cNvSpPr>
            <a:spLocks noChangeShapeType="1"/>
          </xdr:cNvSpPr>
        </xdr:nvSpPr>
        <xdr:spPr bwMode="auto">
          <a:xfrm flipH="1">
            <a:off x="146107" y="31019012"/>
            <a:ext cx="1838217" cy="0"/>
          </a:xfrm>
          <a:prstGeom prst="line">
            <a:avLst/>
          </a:prstGeom>
          <a:noFill/>
          <a:ln w="9525">
            <a:solidFill>
              <a:srgbClr val="000000"/>
            </a:solidFill>
            <a:round/>
            <a:headEnd/>
            <a:tailEnd/>
          </a:ln>
        </xdr:spPr>
      </xdr:sp>
      <xdr:sp macro="" textlink="">
        <xdr:nvSpPr>
          <xdr:cNvPr id="3874" name="Line 357">
            <a:extLst>
              <a:ext uri="{FF2B5EF4-FFF2-40B4-BE49-F238E27FC236}">
                <a16:creationId xmlns:a16="http://schemas.microsoft.com/office/drawing/2014/main" id="{00000000-0008-0000-0000-0000220F0000}"/>
              </a:ext>
            </a:extLst>
          </xdr:cNvPr>
          <xdr:cNvSpPr>
            <a:spLocks noChangeShapeType="1"/>
          </xdr:cNvSpPr>
        </xdr:nvSpPr>
        <xdr:spPr bwMode="auto">
          <a:xfrm flipH="1">
            <a:off x="295083" y="31019012"/>
            <a:ext cx="55866" cy="40366"/>
          </a:xfrm>
          <a:prstGeom prst="line">
            <a:avLst/>
          </a:prstGeom>
          <a:noFill/>
          <a:ln w="9525">
            <a:solidFill>
              <a:srgbClr val="000000"/>
            </a:solidFill>
            <a:round/>
            <a:headEnd/>
            <a:tailEnd/>
          </a:ln>
        </xdr:spPr>
      </xdr:sp>
      <xdr:sp macro="" textlink="">
        <xdr:nvSpPr>
          <xdr:cNvPr id="3875" name="Line 358">
            <a:extLst>
              <a:ext uri="{FF2B5EF4-FFF2-40B4-BE49-F238E27FC236}">
                <a16:creationId xmlns:a16="http://schemas.microsoft.com/office/drawing/2014/main" id="{00000000-0008-0000-0000-0000230F0000}"/>
              </a:ext>
            </a:extLst>
          </xdr:cNvPr>
          <xdr:cNvSpPr>
            <a:spLocks noChangeShapeType="1"/>
          </xdr:cNvSpPr>
        </xdr:nvSpPr>
        <xdr:spPr bwMode="auto">
          <a:xfrm flipH="1">
            <a:off x="323016" y="31019012"/>
            <a:ext cx="55866" cy="40366"/>
          </a:xfrm>
          <a:prstGeom prst="line">
            <a:avLst/>
          </a:prstGeom>
          <a:noFill/>
          <a:ln w="9525">
            <a:solidFill>
              <a:srgbClr val="000000"/>
            </a:solidFill>
            <a:round/>
            <a:headEnd/>
            <a:tailEnd/>
          </a:ln>
        </xdr:spPr>
      </xdr:sp>
      <xdr:sp macro="" textlink="">
        <xdr:nvSpPr>
          <xdr:cNvPr id="3876" name="Line 359">
            <a:extLst>
              <a:ext uri="{FF2B5EF4-FFF2-40B4-BE49-F238E27FC236}">
                <a16:creationId xmlns:a16="http://schemas.microsoft.com/office/drawing/2014/main" id="{00000000-0008-0000-0000-0000240F0000}"/>
              </a:ext>
            </a:extLst>
          </xdr:cNvPr>
          <xdr:cNvSpPr>
            <a:spLocks noChangeShapeType="1"/>
          </xdr:cNvSpPr>
        </xdr:nvSpPr>
        <xdr:spPr bwMode="auto">
          <a:xfrm flipH="1">
            <a:off x="355605" y="31019012"/>
            <a:ext cx="55866" cy="40366"/>
          </a:xfrm>
          <a:prstGeom prst="line">
            <a:avLst/>
          </a:prstGeom>
          <a:noFill/>
          <a:ln w="9525">
            <a:solidFill>
              <a:srgbClr val="000000"/>
            </a:solidFill>
            <a:round/>
            <a:headEnd/>
            <a:tailEnd/>
          </a:ln>
        </xdr:spPr>
      </xdr:sp>
      <xdr:sp macro="" textlink="">
        <xdr:nvSpPr>
          <xdr:cNvPr id="3877" name="Line 360">
            <a:extLst>
              <a:ext uri="{FF2B5EF4-FFF2-40B4-BE49-F238E27FC236}">
                <a16:creationId xmlns:a16="http://schemas.microsoft.com/office/drawing/2014/main" id="{00000000-0008-0000-0000-0000250F0000}"/>
              </a:ext>
            </a:extLst>
          </xdr:cNvPr>
          <xdr:cNvSpPr>
            <a:spLocks noChangeShapeType="1"/>
          </xdr:cNvSpPr>
        </xdr:nvSpPr>
        <xdr:spPr bwMode="auto">
          <a:xfrm>
            <a:off x="420782" y="31019012"/>
            <a:ext cx="51211" cy="47094"/>
          </a:xfrm>
          <a:prstGeom prst="line">
            <a:avLst/>
          </a:prstGeom>
          <a:noFill/>
          <a:ln w="9525">
            <a:solidFill>
              <a:srgbClr val="000000"/>
            </a:solidFill>
            <a:round/>
            <a:headEnd/>
            <a:tailEnd/>
          </a:ln>
        </xdr:spPr>
      </xdr:sp>
      <xdr:sp macro="" textlink="">
        <xdr:nvSpPr>
          <xdr:cNvPr id="3878" name="Line 361">
            <a:extLst>
              <a:ext uri="{FF2B5EF4-FFF2-40B4-BE49-F238E27FC236}">
                <a16:creationId xmlns:a16="http://schemas.microsoft.com/office/drawing/2014/main" id="{00000000-0008-0000-0000-0000260F0000}"/>
              </a:ext>
            </a:extLst>
          </xdr:cNvPr>
          <xdr:cNvSpPr>
            <a:spLocks noChangeShapeType="1"/>
          </xdr:cNvSpPr>
        </xdr:nvSpPr>
        <xdr:spPr bwMode="auto">
          <a:xfrm>
            <a:off x="453370" y="31019012"/>
            <a:ext cx="46556" cy="47094"/>
          </a:xfrm>
          <a:prstGeom prst="line">
            <a:avLst/>
          </a:prstGeom>
          <a:noFill/>
          <a:ln w="9525">
            <a:solidFill>
              <a:srgbClr val="000000"/>
            </a:solidFill>
            <a:round/>
            <a:headEnd/>
            <a:tailEnd/>
          </a:ln>
        </xdr:spPr>
      </xdr:sp>
      <xdr:sp macro="" textlink="">
        <xdr:nvSpPr>
          <xdr:cNvPr id="3879" name="Line 362">
            <a:extLst>
              <a:ext uri="{FF2B5EF4-FFF2-40B4-BE49-F238E27FC236}">
                <a16:creationId xmlns:a16="http://schemas.microsoft.com/office/drawing/2014/main" id="{00000000-0008-0000-0000-0000270F0000}"/>
              </a:ext>
            </a:extLst>
          </xdr:cNvPr>
          <xdr:cNvSpPr>
            <a:spLocks noChangeShapeType="1"/>
          </xdr:cNvSpPr>
        </xdr:nvSpPr>
        <xdr:spPr bwMode="auto">
          <a:xfrm>
            <a:off x="485959" y="31025740"/>
            <a:ext cx="46556" cy="47094"/>
          </a:xfrm>
          <a:prstGeom prst="line">
            <a:avLst/>
          </a:prstGeom>
          <a:noFill/>
          <a:ln w="9525">
            <a:solidFill>
              <a:srgbClr val="000000"/>
            </a:solidFill>
            <a:round/>
            <a:headEnd/>
            <a:tailEnd/>
          </a:ln>
        </xdr:spPr>
      </xdr:sp>
      <xdr:sp macro="" textlink="">
        <xdr:nvSpPr>
          <xdr:cNvPr id="3880" name="Line 293">
            <a:extLst>
              <a:ext uri="{FF2B5EF4-FFF2-40B4-BE49-F238E27FC236}">
                <a16:creationId xmlns:a16="http://schemas.microsoft.com/office/drawing/2014/main" id="{00000000-0008-0000-0000-0000280F0000}"/>
              </a:ext>
            </a:extLst>
          </xdr:cNvPr>
          <xdr:cNvSpPr>
            <a:spLocks noChangeShapeType="1"/>
          </xdr:cNvSpPr>
        </xdr:nvSpPr>
        <xdr:spPr bwMode="auto">
          <a:xfrm>
            <a:off x="197318" y="31624505"/>
            <a:ext cx="1665962" cy="0"/>
          </a:xfrm>
          <a:prstGeom prst="line">
            <a:avLst/>
          </a:prstGeom>
          <a:noFill/>
          <a:ln w="9525">
            <a:solidFill>
              <a:srgbClr val="000000"/>
            </a:solidFill>
            <a:prstDash val="dash"/>
            <a:round/>
            <a:headEnd/>
            <a:tailEnd/>
          </a:ln>
        </xdr:spPr>
      </xdr:sp>
      <xdr:sp macro="" textlink="">
        <xdr:nvSpPr>
          <xdr:cNvPr id="3881" name="Line 294">
            <a:extLst>
              <a:ext uri="{FF2B5EF4-FFF2-40B4-BE49-F238E27FC236}">
                <a16:creationId xmlns:a16="http://schemas.microsoft.com/office/drawing/2014/main" id="{00000000-0008-0000-0000-0000290F0000}"/>
              </a:ext>
            </a:extLst>
          </xdr:cNvPr>
          <xdr:cNvSpPr>
            <a:spLocks noChangeShapeType="1"/>
          </xdr:cNvSpPr>
        </xdr:nvSpPr>
        <xdr:spPr bwMode="auto">
          <a:xfrm flipH="1">
            <a:off x="197318" y="31516862"/>
            <a:ext cx="0" cy="114371"/>
          </a:xfrm>
          <a:prstGeom prst="line">
            <a:avLst/>
          </a:prstGeom>
          <a:noFill/>
          <a:ln w="9525">
            <a:solidFill>
              <a:srgbClr val="000000"/>
            </a:solidFill>
            <a:prstDash val="dash"/>
            <a:round/>
            <a:headEnd/>
            <a:tailEnd/>
          </a:ln>
        </xdr:spPr>
      </xdr:sp>
      <xdr:sp macro="" textlink="">
        <xdr:nvSpPr>
          <xdr:cNvPr id="3882" name="Line 295">
            <a:extLst>
              <a:ext uri="{FF2B5EF4-FFF2-40B4-BE49-F238E27FC236}">
                <a16:creationId xmlns:a16="http://schemas.microsoft.com/office/drawing/2014/main" id="{00000000-0008-0000-0000-00002A0F0000}"/>
              </a:ext>
            </a:extLst>
          </xdr:cNvPr>
          <xdr:cNvSpPr>
            <a:spLocks noChangeShapeType="1"/>
          </xdr:cNvSpPr>
        </xdr:nvSpPr>
        <xdr:spPr bwMode="auto">
          <a:xfrm flipH="1">
            <a:off x="1863280" y="31510134"/>
            <a:ext cx="0" cy="107643"/>
          </a:xfrm>
          <a:prstGeom prst="line">
            <a:avLst/>
          </a:prstGeom>
          <a:noFill/>
          <a:ln w="9525">
            <a:solidFill>
              <a:srgbClr val="000000"/>
            </a:solidFill>
            <a:prstDash val="dash"/>
            <a:round/>
            <a:headEnd/>
            <a:tailEnd/>
          </a:ln>
        </xdr:spPr>
      </xdr:sp>
      <xdr:sp macro="" textlink="">
        <xdr:nvSpPr>
          <xdr:cNvPr id="3883" name="Line 296">
            <a:extLst>
              <a:ext uri="{FF2B5EF4-FFF2-40B4-BE49-F238E27FC236}">
                <a16:creationId xmlns:a16="http://schemas.microsoft.com/office/drawing/2014/main" id="{00000000-0008-0000-0000-00002B0F0000}"/>
              </a:ext>
            </a:extLst>
          </xdr:cNvPr>
          <xdr:cNvSpPr>
            <a:spLocks noChangeShapeType="1"/>
          </xdr:cNvSpPr>
        </xdr:nvSpPr>
        <xdr:spPr bwMode="auto">
          <a:xfrm flipH="1">
            <a:off x="859716" y="30319331"/>
            <a:ext cx="111732" cy="699681"/>
          </a:xfrm>
          <a:prstGeom prst="line">
            <a:avLst/>
          </a:prstGeom>
          <a:noFill/>
          <a:ln w="9525">
            <a:solidFill>
              <a:srgbClr val="000000"/>
            </a:solidFill>
            <a:round/>
            <a:headEnd/>
            <a:tailEnd/>
          </a:ln>
        </xdr:spPr>
      </xdr:sp>
      <xdr:sp macro="" textlink="">
        <xdr:nvSpPr>
          <xdr:cNvPr id="3884" name="Line 297">
            <a:extLst>
              <a:ext uri="{FF2B5EF4-FFF2-40B4-BE49-F238E27FC236}">
                <a16:creationId xmlns:a16="http://schemas.microsoft.com/office/drawing/2014/main" id="{00000000-0008-0000-0000-00002C0F0000}"/>
              </a:ext>
            </a:extLst>
          </xdr:cNvPr>
          <xdr:cNvSpPr>
            <a:spLocks noChangeShapeType="1"/>
          </xdr:cNvSpPr>
        </xdr:nvSpPr>
        <xdr:spPr bwMode="auto">
          <a:xfrm flipH="1">
            <a:off x="794538" y="31012284"/>
            <a:ext cx="65177" cy="336384"/>
          </a:xfrm>
          <a:prstGeom prst="line">
            <a:avLst/>
          </a:prstGeom>
          <a:noFill/>
          <a:ln w="9525">
            <a:solidFill>
              <a:srgbClr val="000000"/>
            </a:solidFill>
            <a:prstDash val="dash"/>
            <a:round/>
            <a:headEnd/>
            <a:tailEnd/>
          </a:ln>
        </xdr:spPr>
      </xdr:sp>
      <xdr:sp macro="" textlink="">
        <xdr:nvSpPr>
          <xdr:cNvPr id="3885" name="Line 299">
            <a:extLst>
              <a:ext uri="{FF2B5EF4-FFF2-40B4-BE49-F238E27FC236}">
                <a16:creationId xmlns:a16="http://schemas.microsoft.com/office/drawing/2014/main" id="{00000000-0008-0000-0000-00002D0F0000}"/>
              </a:ext>
            </a:extLst>
          </xdr:cNvPr>
          <xdr:cNvSpPr>
            <a:spLocks noChangeShapeType="1"/>
          </xdr:cNvSpPr>
        </xdr:nvSpPr>
        <xdr:spPr bwMode="auto">
          <a:xfrm>
            <a:off x="976103" y="30319331"/>
            <a:ext cx="135010" cy="0"/>
          </a:xfrm>
          <a:prstGeom prst="line">
            <a:avLst/>
          </a:prstGeom>
          <a:noFill/>
          <a:ln w="9525">
            <a:solidFill>
              <a:srgbClr val="000000"/>
            </a:solidFill>
            <a:round/>
            <a:headEnd/>
            <a:tailEnd/>
          </a:ln>
        </xdr:spPr>
      </xdr:sp>
      <xdr:sp macro="" textlink="">
        <xdr:nvSpPr>
          <xdr:cNvPr id="3886" name="Line 300">
            <a:extLst>
              <a:ext uri="{FF2B5EF4-FFF2-40B4-BE49-F238E27FC236}">
                <a16:creationId xmlns:a16="http://schemas.microsoft.com/office/drawing/2014/main" id="{00000000-0008-0000-0000-00002E0F0000}"/>
              </a:ext>
            </a:extLst>
          </xdr:cNvPr>
          <xdr:cNvSpPr>
            <a:spLocks noChangeShapeType="1"/>
          </xdr:cNvSpPr>
        </xdr:nvSpPr>
        <xdr:spPr bwMode="auto">
          <a:xfrm>
            <a:off x="1111112" y="30319331"/>
            <a:ext cx="116387" cy="699681"/>
          </a:xfrm>
          <a:prstGeom prst="line">
            <a:avLst/>
          </a:prstGeom>
          <a:noFill/>
          <a:ln w="9525">
            <a:solidFill>
              <a:srgbClr val="000000"/>
            </a:solidFill>
            <a:round/>
            <a:headEnd/>
            <a:tailEnd/>
          </a:ln>
        </xdr:spPr>
      </xdr:sp>
      <xdr:sp macro="" textlink="">
        <xdr:nvSpPr>
          <xdr:cNvPr id="3887" name="Line 301">
            <a:extLst>
              <a:ext uri="{FF2B5EF4-FFF2-40B4-BE49-F238E27FC236}">
                <a16:creationId xmlns:a16="http://schemas.microsoft.com/office/drawing/2014/main" id="{00000000-0008-0000-0000-00002F0F0000}"/>
              </a:ext>
            </a:extLst>
          </xdr:cNvPr>
          <xdr:cNvSpPr>
            <a:spLocks noChangeShapeType="1"/>
          </xdr:cNvSpPr>
        </xdr:nvSpPr>
        <xdr:spPr bwMode="auto">
          <a:xfrm>
            <a:off x="1228816" y="31032467"/>
            <a:ext cx="65177" cy="309474"/>
          </a:xfrm>
          <a:prstGeom prst="line">
            <a:avLst/>
          </a:prstGeom>
          <a:noFill/>
          <a:ln w="9525">
            <a:solidFill>
              <a:srgbClr val="000000"/>
            </a:solidFill>
            <a:prstDash val="dash"/>
            <a:round/>
            <a:headEnd/>
            <a:tailEnd/>
          </a:ln>
        </xdr:spPr>
      </xdr:sp>
      <xdr:sp macro="" textlink="">
        <xdr:nvSpPr>
          <xdr:cNvPr id="3888" name="Line 8415">
            <a:extLst>
              <a:ext uri="{FF2B5EF4-FFF2-40B4-BE49-F238E27FC236}">
                <a16:creationId xmlns:a16="http://schemas.microsoft.com/office/drawing/2014/main" id="{00000000-0008-0000-0000-0000300F0000}"/>
              </a:ext>
            </a:extLst>
          </xdr:cNvPr>
          <xdr:cNvSpPr>
            <a:spLocks noChangeShapeType="1"/>
          </xdr:cNvSpPr>
        </xdr:nvSpPr>
        <xdr:spPr bwMode="auto">
          <a:xfrm>
            <a:off x="794538" y="31348670"/>
            <a:ext cx="494799" cy="0"/>
          </a:xfrm>
          <a:prstGeom prst="line">
            <a:avLst/>
          </a:prstGeom>
          <a:noFill/>
          <a:ln w="9525">
            <a:solidFill>
              <a:srgbClr val="000000"/>
            </a:solidFill>
            <a:prstDash val="dash"/>
            <a:round/>
            <a:headEnd/>
            <a:tailEnd/>
          </a:ln>
        </xdr:spPr>
      </xdr:sp>
      <xdr:cxnSp macro="">
        <xdr:nvCxnSpPr>
          <xdr:cNvPr id="779" name="Straight Connector 778">
            <a:extLst>
              <a:ext uri="{FF2B5EF4-FFF2-40B4-BE49-F238E27FC236}">
                <a16:creationId xmlns:a16="http://schemas.microsoft.com/office/drawing/2014/main" id="{00000000-0008-0000-0000-00000B030000}"/>
              </a:ext>
            </a:extLst>
          </xdr:cNvPr>
          <xdr:cNvCxnSpPr>
            <a:stCxn id="3886" idx="0"/>
          </xdr:cNvCxnSpPr>
        </xdr:nvCxnSpPr>
        <xdr:spPr>
          <a:xfrm rot="16200000" flipH="1">
            <a:off x="1562922" y="29869636"/>
            <a:ext cx="9520" cy="909425"/>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890" name="Line 357">
            <a:extLst>
              <a:ext uri="{FF2B5EF4-FFF2-40B4-BE49-F238E27FC236}">
                <a16:creationId xmlns:a16="http://schemas.microsoft.com/office/drawing/2014/main" id="{00000000-0008-0000-0000-0000320F0000}"/>
              </a:ext>
            </a:extLst>
          </xdr:cNvPr>
          <xdr:cNvSpPr>
            <a:spLocks noChangeShapeType="1"/>
          </xdr:cNvSpPr>
        </xdr:nvSpPr>
        <xdr:spPr bwMode="auto">
          <a:xfrm flipH="1">
            <a:off x="1552505" y="30336314"/>
            <a:ext cx="55866" cy="40366"/>
          </a:xfrm>
          <a:prstGeom prst="line">
            <a:avLst/>
          </a:prstGeom>
          <a:noFill/>
          <a:ln w="9525">
            <a:solidFill>
              <a:srgbClr val="000000"/>
            </a:solidFill>
            <a:round/>
            <a:headEnd/>
            <a:tailEnd/>
          </a:ln>
        </xdr:spPr>
      </xdr:sp>
      <xdr:sp macro="" textlink="">
        <xdr:nvSpPr>
          <xdr:cNvPr id="3891" name="Line 358">
            <a:extLst>
              <a:ext uri="{FF2B5EF4-FFF2-40B4-BE49-F238E27FC236}">
                <a16:creationId xmlns:a16="http://schemas.microsoft.com/office/drawing/2014/main" id="{00000000-0008-0000-0000-0000330F0000}"/>
              </a:ext>
            </a:extLst>
          </xdr:cNvPr>
          <xdr:cNvSpPr>
            <a:spLocks noChangeShapeType="1"/>
          </xdr:cNvSpPr>
        </xdr:nvSpPr>
        <xdr:spPr bwMode="auto">
          <a:xfrm flipH="1">
            <a:off x="1580439" y="30336314"/>
            <a:ext cx="55866" cy="40366"/>
          </a:xfrm>
          <a:prstGeom prst="line">
            <a:avLst/>
          </a:prstGeom>
          <a:noFill/>
          <a:ln w="9525">
            <a:solidFill>
              <a:srgbClr val="000000"/>
            </a:solidFill>
            <a:round/>
            <a:headEnd/>
            <a:tailEnd/>
          </a:ln>
        </xdr:spPr>
      </xdr:sp>
      <xdr:sp macro="" textlink="">
        <xdr:nvSpPr>
          <xdr:cNvPr id="3892" name="Line 359">
            <a:extLst>
              <a:ext uri="{FF2B5EF4-FFF2-40B4-BE49-F238E27FC236}">
                <a16:creationId xmlns:a16="http://schemas.microsoft.com/office/drawing/2014/main" id="{00000000-0008-0000-0000-0000340F0000}"/>
              </a:ext>
            </a:extLst>
          </xdr:cNvPr>
          <xdr:cNvSpPr>
            <a:spLocks noChangeShapeType="1"/>
          </xdr:cNvSpPr>
        </xdr:nvSpPr>
        <xdr:spPr bwMode="auto">
          <a:xfrm flipH="1">
            <a:off x="1613028" y="30336314"/>
            <a:ext cx="55866" cy="40366"/>
          </a:xfrm>
          <a:prstGeom prst="line">
            <a:avLst/>
          </a:prstGeom>
          <a:noFill/>
          <a:ln w="9525">
            <a:solidFill>
              <a:srgbClr val="000000"/>
            </a:solidFill>
            <a:round/>
            <a:headEnd/>
            <a:tailEnd/>
          </a:ln>
        </xdr:spPr>
      </xdr:sp>
      <xdr:sp macro="" textlink="">
        <xdr:nvSpPr>
          <xdr:cNvPr id="3893" name="Line 360">
            <a:extLst>
              <a:ext uri="{FF2B5EF4-FFF2-40B4-BE49-F238E27FC236}">
                <a16:creationId xmlns:a16="http://schemas.microsoft.com/office/drawing/2014/main" id="{00000000-0008-0000-0000-0000350F0000}"/>
              </a:ext>
            </a:extLst>
          </xdr:cNvPr>
          <xdr:cNvSpPr>
            <a:spLocks noChangeShapeType="1"/>
          </xdr:cNvSpPr>
        </xdr:nvSpPr>
        <xdr:spPr bwMode="auto">
          <a:xfrm>
            <a:off x="1678204" y="30336314"/>
            <a:ext cx="51211" cy="47094"/>
          </a:xfrm>
          <a:prstGeom prst="line">
            <a:avLst/>
          </a:prstGeom>
          <a:noFill/>
          <a:ln w="9525">
            <a:solidFill>
              <a:srgbClr val="000000"/>
            </a:solidFill>
            <a:round/>
            <a:headEnd/>
            <a:tailEnd/>
          </a:ln>
        </xdr:spPr>
      </xdr:sp>
      <xdr:sp macro="" textlink="">
        <xdr:nvSpPr>
          <xdr:cNvPr id="3894" name="Line 361">
            <a:extLst>
              <a:ext uri="{FF2B5EF4-FFF2-40B4-BE49-F238E27FC236}">
                <a16:creationId xmlns:a16="http://schemas.microsoft.com/office/drawing/2014/main" id="{00000000-0008-0000-0000-0000360F0000}"/>
              </a:ext>
            </a:extLst>
          </xdr:cNvPr>
          <xdr:cNvSpPr>
            <a:spLocks noChangeShapeType="1"/>
          </xdr:cNvSpPr>
        </xdr:nvSpPr>
        <xdr:spPr bwMode="auto">
          <a:xfrm>
            <a:off x="1710793" y="30336314"/>
            <a:ext cx="46556" cy="47094"/>
          </a:xfrm>
          <a:prstGeom prst="line">
            <a:avLst/>
          </a:prstGeom>
          <a:noFill/>
          <a:ln w="9525">
            <a:solidFill>
              <a:srgbClr val="000000"/>
            </a:solidFill>
            <a:round/>
            <a:headEnd/>
            <a:tailEnd/>
          </a:ln>
        </xdr:spPr>
      </xdr:sp>
      <xdr:sp macro="" textlink="">
        <xdr:nvSpPr>
          <xdr:cNvPr id="3895" name="Line 362">
            <a:extLst>
              <a:ext uri="{FF2B5EF4-FFF2-40B4-BE49-F238E27FC236}">
                <a16:creationId xmlns:a16="http://schemas.microsoft.com/office/drawing/2014/main" id="{00000000-0008-0000-0000-0000370F0000}"/>
              </a:ext>
            </a:extLst>
          </xdr:cNvPr>
          <xdr:cNvSpPr>
            <a:spLocks noChangeShapeType="1"/>
          </xdr:cNvSpPr>
        </xdr:nvSpPr>
        <xdr:spPr bwMode="auto">
          <a:xfrm>
            <a:off x="1743382" y="30343042"/>
            <a:ext cx="46556" cy="47094"/>
          </a:xfrm>
          <a:prstGeom prst="line">
            <a:avLst/>
          </a:prstGeom>
          <a:noFill/>
          <a:ln w="9525">
            <a:solidFill>
              <a:srgbClr val="000000"/>
            </a:solidFill>
            <a:round/>
            <a:headEnd/>
            <a:tailEnd/>
          </a:ln>
        </xdr:spPr>
      </xdr:sp>
      <xdr:sp macro="" textlink="">
        <xdr:nvSpPr>
          <xdr:cNvPr id="3896" name="Line 8972">
            <a:extLst>
              <a:ext uri="{FF2B5EF4-FFF2-40B4-BE49-F238E27FC236}">
                <a16:creationId xmlns:a16="http://schemas.microsoft.com/office/drawing/2014/main" id="{00000000-0008-0000-0000-0000380F0000}"/>
              </a:ext>
            </a:extLst>
          </xdr:cNvPr>
          <xdr:cNvSpPr>
            <a:spLocks noChangeShapeType="1"/>
          </xdr:cNvSpPr>
        </xdr:nvSpPr>
        <xdr:spPr bwMode="auto">
          <a:xfrm rot="16200000" flipH="1">
            <a:off x="1112116" y="30201161"/>
            <a:ext cx="208793" cy="0"/>
          </a:xfrm>
          <a:prstGeom prst="line">
            <a:avLst/>
          </a:prstGeom>
          <a:noFill/>
          <a:ln w="9525">
            <a:solidFill>
              <a:srgbClr val="000000"/>
            </a:solidFill>
            <a:round/>
            <a:headEnd/>
            <a:tailEnd type="arrow" w="med" len="med"/>
          </a:ln>
        </xdr:spPr>
      </xdr:sp>
      <xdr:sp macro="" textlink="">
        <xdr:nvSpPr>
          <xdr:cNvPr id="3897" name="Line 8973">
            <a:extLst>
              <a:ext uri="{FF2B5EF4-FFF2-40B4-BE49-F238E27FC236}">
                <a16:creationId xmlns:a16="http://schemas.microsoft.com/office/drawing/2014/main" id="{00000000-0008-0000-0000-0000390F0000}"/>
              </a:ext>
            </a:extLst>
          </xdr:cNvPr>
          <xdr:cNvSpPr>
            <a:spLocks noChangeShapeType="1"/>
          </xdr:cNvSpPr>
        </xdr:nvSpPr>
        <xdr:spPr bwMode="auto">
          <a:xfrm rot="16200000" flipH="1">
            <a:off x="1211350" y="30201161"/>
            <a:ext cx="208793" cy="0"/>
          </a:xfrm>
          <a:prstGeom prst="line">
            <a:avLst/>
          </a:prstGeom>
          <a:noFill/>
          <a:ln w="9525">
            <a:solidFill>
              <a:srgbClr val="000000"/>
            </a:solidFill>
            <a:round/>
            <a:headEnd/>
            <a:tailEnd type="arrow" w="med" len="med"/>
          </a:ln>
        </xdr:spPr>
      </xdr:sp>
      <xdr:sp macro="" textlink="">
        <xdr:nvSpPr>
          <xdr:cNvPr id="3898" name="Line 8974">
            <a:extLst>
              <a:ext uri="{FF2B5EF4-FFF2-40B4-BE49-F238E27FC236}">
                <a16:creationId xmlns:a16="http://schemas.microsoft.com/office/drawing/2014/main" id="{00000000-0008-0000-0000-00003A0F0000}"/>
              </a:ext>
            </a:extLst>
          </xdr:cNvPr>
          <xdr:cNvSpPr>
            <a:spLocks noChangeShapeType="1"/>
          </xdr:cNvSpPr>
        </xdr:nvSpPr>
        <xdr:spPr bwMode="auto">
          <a:xfrm rot="16200000" flipH="1">
            <a:off x="1307513" y="30201161"/>
            <a:ext cx="208793" cy="0"/>
          </a:xfrm>
          <a:prstGeom prst="line">
            <a:avLst/>
          </a:prstGeom>
          <a:noFill/>
          <a:ln w="9525">
            <a:solidFill>
              <a:srgbClr val="000000"/>
            </a:solidFill>
            <a:round/>
            <a:headEnd/>
            <a:tailEnd type="arrow" w="med" len="med"/>
          </a:ln>
        </xdr:spPr>
      </xdr:sp>
      <xdr:sp macro="" textlink="">
        <xdr:nvSpPr>
          <xdr:cNvPr id="3899" name="Line 8975">
            <a:extLst>
              <a:ext uri="{FF2B5EF4-FFF2-40B4-BE49-F238E27FC236}">
                <a16:creationId xmlns:a16="http://schemas.microsoft.com/office/drawing/2014/main" id="{00000000-0008-0000-0000-00003B0F0000}"/>
              </a:ext>
            </a:extLst>
          </xdr:cNvPr>
          <xdr:cNvSpPr>
            <a:spLocks noChangeShapeType="1"/>
          </xdr:cNvSpPr>
        </xdr:nvSpPr>
        <xdr:spPr bwMode="auto">
          <a:xfrm rot="16200000" flipH="1">
            <a:off x="1410089" y="30197068"/>
            <a:ext cx="208793" cy="0"/>
          </a:xfrm>
          <a:prstGeom prst="line">
            <a:avLst/>
          </a:prstGeom>
          <a:noFill/>
          <a:ln w="9525">
            <a:solidFill>
              <a:srgbClr val="000000"/>
            </a:solidFill>
            <a:round/>
            <a:headEnd/>
            <a:tailEnd type="arrow" w="med" len="med"/>
          </a:ln>
        </xdr:spPr>
      </xdr:sp>
      <xdr:sp macro="" textlink="">
        <xdr:nvSpPr>
          <xdr:cNvPr id="3900" name="Line 8976">
            <a:extLst>
              <a:ext uri="{FF2B5EF4-FFF2-40B4-BE49-F238E27FC236}">
                <a16:creationId xmlns:a16="http://schemas.microsoft.com/office/drawing/2014/main" id="{00000000-0008-0000-0000-00003C0F0000}"/>
              </a:ext>
            </a:extLst>
          </xdr:cNvPr>
          <xdr:cNvSpPr>
            <a:spLocks noChangeShapeType="1"/>
          </xdr:cNvSpPr>
        </xdr:nvSpPr>
        <xdr:spPr bwMode="auto">
          <a:xfrm rot="16200000" flipH="1">
            <a:off x="1506252" y="30197068"/>
            <a:ext cx="208793" cy="0"/>
          </a:xfrm>
          <a:prstGeom prst="line">
            <a:avLst/>
          </a:prstGeom>
          <a:noFill/>
          <a:ln w="9525">
            <a:solidFill>
              <a:srgbClr val="000000"/>
            </a:solidFill>
            <a:round/>
            <a:headEnd/>
            <a:tailEnd type="arrow" w="med" len="med"/>
          </a:ln>
        </xdr:spPr>
      </xdr:sp>
      <xdr:sp macro="" textlink="">
        <xdr:nvSpPr>
          <xdr:cNvPr id="3901" name="Line 8977">
            <a:extLst>
              <a:ext uri="{FF2B5EF4-FFF2-40B4-BE49-F238E27FC236}">
                <a16:creationId xmlns:a16="http://schemas.microsoft.com/office/drawing/2014/main" id="{00000000-0008-0000-0000-00003D0F0000}"/>
              </a:ext>
            </a:extLst>
          </xdr:cNvPr>
          <xdr:cNvSpPr>
            <a:spLocks noChangeShapeType="1"/>
          </xdr:cNvSpPr>
        </xdr:nvSpPr>
        <xdr:spPr bwMode="auto">
          <a:xfrm rot="16200000" flipH="1">
            <a:off x="1608826" y="30197068"/>
            <a:ext cx="208793" cy="0"/>
          </a:xfrm>
          <a:prstGeom prst="line">
            <a:avLst/>
          </a:prstGeom>
          <a:noFill/>
          <a:ln w="9525">
            <a:solidFill>
              <a:srgbClr val="000000"/>
            </a:solidFill>
            <a:round/>
            <a:headEnd/>
            <a:tailEnd type="arrow" w="med" len="med"/>
          </a:ln>
        </xdr:spPr>
      </xdr:sp>
      <xdr:sp macro="" textlink="">
        <xdr:nvSpPr>
          <xdr:cNvPr id="3902" name="Line 8978">
            <a:extLst>
              <a:ext uri="{FF2B5EF4-FFF2-40B4-BE49-F238E27FC236}">
                <a16:creationId xmlns:a16="http://schemas.microsoft.com/office/drawing/2014/main" id="{00000000-0008-0000-0000-00003E0F0000}"/>
              </a:ext>
            </a:extLst>
          </xdr:cNvPr>
          <xdr:cNvSpPr>
            <a:spLocks noChangeShapeType="1"/>
          </xdr:cNvSpPr>
        </xdr:nvSpPr>
        <xdr:spPr bwMode="auto">
          <a:xfrm rot="16200000" flipH="1">
            <a:off x="1711400" y="30197068"/>
            <a:ext cx="208793" cy="0"/>
          </a:xfrm>
          <a:prstGeom prst="line">
            <a:avLst/>
          </a:prstGeom>
          <a:noFill/>
          <a:ln w="9525">
            <a:solidFill>
              <a:srgbClr val="000000"/>
            </a:solidFill>
            <a:round/>
            <a:headEnd/>
            <a:tailEnd type="arrow" w="med" len="med"/>
          </a:ln>
        </xdr:spPr>
      </xdr:sp>
      <xdr:sp macro="" textlink="">
        <xdr:nvSpPr>
          <xdr:cNvPr id="3903" name="Line 8979">
            <a:extLst>
              <a:ext uri="{FF2B5EF4-FFF2-40B4-BE49-F238E27FC236}">
                <a16:creationId xmlns:a16="http://schemas.microsoft.com/office/drawing/2014/main" id="{00000000-0008-0000-0000-00003F0F0000}"/>
              </a:ext>
            </a:extLst>
          </xdr:cNvPr>
          <xdr:cNvSpPr>
            <a:spLocks noChangeShapeType="1"/>
          </xdr:cNvSpPr>
        </xdr:nvSpPr>
        <xdr:spPr bwMode="auto">
          <a:xfrm rot="16200000" flipH="1">
            <a:off x="1804224" y="30213634"/>
            <a:ext cx="208793" cy="0"/>
          </a:xfrm>
          <a:prstGeom prst="line">
            <a:avLst/>
          </a:prstGeom>
          <a:noFill/>
          <a:ln w="9525">
            <a:solidFill>
              <a:srgbClr val="000000"/>
            </a:solidFill>
            <a:round/>
            <a:headEnd/>
            <a:tailEnd type="arrow" w="med" len="med"/>
          </a:ln>
        </xdr:spPr>
      </xdr:sp>
      <xdr:sp macro="" textlink="">
        <xdr:nvSpPr>
          <xdr:cNvPr id="3904" name="Line 8980">
            <a:extLst>
              <a:ext uri="{FF2B5EF4-FFF2-40B4-BE49-F238E27FC236}">
                <a16:creationId xmlns:a16="http://schemas.microsoft.com/office/drawing/2014/main" id="{00000000-0008-0000-0000-0000400F0000}"/>
              </a:ext>
            </a:extLst>
          </xdr:cNvPr>
          <xdr:cNvSpPr>
            <a:spLocks noChangeShapeType="1"/>
          </xdr:cNvSpPr>
        </xdr:nvSpPr>
        <xdr:spPr bwMode="auto">
          <a:xfrm rot="16200000" flipH="1">
            <a:off x="1906799" y="30213634"/>
            <a:ext cx="208793" cy="0"/>
          </a:xfrm>
          <a:prstGeom prst="line">
            <a:avLst/>
          </a:prstGeom>
          <a:noFill/>
          <a:ln w="9525">
            <a:solidFill>
              <a:srgbClr val="000000"/>
            </a:solidFill>
            <a:round/>
            <a:headEnd/>
            <a:tailEnd type="arrow" w="med" len="med"/>
          </a:ln>
        </xdr:spPr>
      </xdr:sp>
      <xdr:sp macro="" textlink="">
        <xdr:nvSpPr>
          <xdr:cNvPr id="3905" name="Line 8981">
            <a:extLst>
              <a:ext uri="{FF2B5EF4-FFF2-40B4-BE49-F238E27FC236}">
                <a16:creationId xmlns:a16="http://schemas.microsoft.com/office/drawing/2014/main" id="{00000000-0008-0000-0000-0000410F0000}"/>
              </a:ext>
            </a:extLst>
          </xdr:cNvPr>
          <xdr:cNvSpPr>
            <a:spLocks noChangeShapeType="1"/>
          </xdr:cNvSpPr>
        </xdr:nvSpPr>
        <xdr:spPr bwMode="auto">
          <a:xfrm rot="16200000" flipH="1">
            <a:off x="2009372" y="30205351"/>
            <a:ext cx="208793" cy="0"/>
          </a:xfrm>
          <a:prstGeom prst="line">
            <a:avLst/>
          </a:prstGeom>
          <a:noFill/>
          <a:ln w="9525">
            <a:solidFill>
              <a:srgbClr val="000000"/>
            </a:solidFill>
            <a:round/>
            <a:headEnd/>
            <a:tailEnd type="arrow" w="med" len="med"/>
          </a:ln>
        </xdr:spPr>
      </xdr:sp>
      <xdr:sp macro="" textlink="">
        <xdr:nvSpPr>
          <xdr:cNvPr id="3906" name="Line 8982">
            <a:extLst>
              <a:ext uri="{FF2B5EF4-FFF2-40B4-BE49-F238E27FC236}">
                <a16:creationId xmlns:a16="http://schemas.microsoft.com/office/drawing/2014/main" id="{00000000-0008-0000-0000-0000420F0000}"/>
              </a:ext>
            </a:extLst>
          </xdr:cNvPr>
          <xdr:cNvSpPr>
            <a:spLocks noChangeShapeType="1"/>
          </xdr:cNvSpPr>
        </xdr:nvSpPr>
        <xdr:spPr bwMode="auto">
          <a:xfrm rot="16200000" flipH="1">
            <a:off x="2105536" y="30209540"/>
            <a:ext cx="208793" cy="0"/>
          </a:xfrm>
          <a:prstGeom prst="line">
            <a:avLst/>
          </a:prstGeom>
          <a:noFill/>
          <a:ln w="9525">
            <a:solidFill>
              <a:srgbClr val="000000"/>
            </a:solidFill>
            <a:round/>
            <a:headEnd/>
            <a:tailEnd type="arrow" w="med" len="med"/>
          </a:ln>
        </xdr:spPr>
      </xdr:sp>
      <xdr:sp macro="" textlink="">
        <xdr:nvSpPr>
          <xdr:cNvPr id="3907" name="Line 8983">
            <a:extLst>
              <a:ext uri="{FF2B5EF4-FFF2-40B4-BE49-F238E27FC236}">
                <a16:creationId xmlns:a16="http://schemas.microsoft.com/office/drawing/2014/main" id="{00000000-0008-0000-0000-0000430F0000}"/>
              </a:ext>
            </a:extLst>
          </xdr:cNvPr>
          <xdr:cNvSpPr>
            <a:spLocks noChangeShapeType="1"/>
          </xdr:cNvSpPr>
        </xdr:nvSpPr>
        <xdr:spPr bwMode="auto">
          <a:xfrm rot="16200000" flipH="1">
            <a:off x="2208110" y="30213634"/>
            <a:ext cx="208793" cy="0"/>
          </a:xfrm>
          <a:prstGeom prst="line">
            <a:avLst/>
          </a:prstGeom>
          <a:noFill/>
          <a:ln w="9525">
            <a:solidFill>
              <a:srgbClr val="000000"/>
            </a:solidFill>
            <a:round/>
            <a:headEnd/>
            <a:tailEnd type="arrow" w="med" len="med"/>
          </a:ln>
        </xdr:spPr>
      </xdr:sp>
      <xdr:sp macro="" textlink="">
        <xdr:nvSpPr>
          <xdr:cNvPr id="3908" name="Line 8984">
            <a:extLst>
              <a:ext uri="{FF2B5EF4-FFF2-40B4-BE49-F238E27FC236}">
                <a16:creationId xmlns:a16="http://schemas.microsoft.com/office/drawing/2014/main" id="{00000000-0008-0000-0000-0000440F0000}"/>
              </a:ext>
            </a:extLst>
          </xdr:cNvPr>
          <xdr:cNvSpPr>
            <a:spLocks noChangeShapeType="1"/>
          </xdr:cNvSpPr>
        </xdr:nvSpPr>
        <xdr:spPr bwMode="auto">
          <a:xfrm rot="16200000" flipH="1">
            <a:off x="2317096" y="30213625"/>
            <a:ext cx="208793" cy="0"/>
          </a:xfrm>
          <a:prstGeom prst="line">
            <a:avLst/>
          </a:prstGeom>
          <a:noFill/>
          <a:ln w="9525">
            <a:solidFill>
              <a:srgbClr val="000000"/>
            </a:solidFill>
            <a:round/>
            <a:headEnd/>
            <a:tailEnd type="arrow" w="med" len="med"/>
          </a:ln>
        </xdr:spPr>
      </xdr:sp>
      <xdr:sp macro="" textlink="">
        <xdr:nvSpPr>
          <xdr:cNvPr id="799" name="Text Box 8517">
            <a:extLst>
              <a:ext uri="{FF2B5EF4-FFF2-40B4-BE49-F238E27FC236}">
                <a16:creationId xmlns:a16="http://schemas.microsoft.com/office/drawing/2014/main" id="{00000000-0008-0000-0000-00001F030000}"/>
              </a:ext>
            </a:extLst>
          </xdr:cNvPr>
          <xdr:cNvSpPr txBox="1">
            <a:spLocks noChangeArrowheads="1"/>
          </xdr:cNvSpPr>
        </xdr:nvSpPr>
        <xdr:spPr bwMode="auto">
          <a:xfrm>
            <a:off x="1333146" y="29938779"/>
            <a:ext cx="1024300" cy="24752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Live Load Surcharge </a:t>
            </a:r>
          </a:p>
        </xdr:txBody>
      </xdr:sp>
      <xdr:sp macro="" textlink="">
        <xdr:nvSpPr>
          <xdr:cNvPr id="800" name="Text Box 8517">
            <a:extLst>
              <a:ext uri="{FF2B5EF4-FFF2-40B4-BE49-F238E27FC236}">
                <a16:creationId xmlns:a16="http://schemas.microsoft.com/office/drawing/2014/main" id="{00000000-0008-0000-0000-000020030000}"/>
              </a:ext>
            </a:extLst>
          </xdr:cNvPr>
          <xdr:cNvSpPr txBox="1">
            <a:spLocks noChangeArrowheads="1"/>
          </xdr:cNvSpPr>
        </xdr:nvSpPr>
        <xdr:spPr bwMode="auto">
          <a:xfrm>
            <a:off x="2501040" y="30157745"/>
            <a:ext cx="976436" cy="29512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P</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r>
              <a:rPr lang="en-US" sz="900" b="0" i="0" strike="noStrike">
                <a:solidFill>
                  <a:srgbClr val="000000"/>
                </a:solidFill>
                <a:latin typeface="Calibri"/>
                <a:cs typeface="Calibri"/>
              </a:rPr>
              <a:t>k</a:t>
            </a:r>
            <a:r>
              <a:rPr lang="en-US" sz="900" b="0" i="0" strike="noStrike" baseline="-25000">
                <a:solidFill>
                  <a:srgbClr val="000000"/>
                </a:solidFill>
                <a:latin typeface="Calibri"/>
                <a:cs typeface="Calibri"/>
              </a:rPr>
              <a:t>i</a:t>
            </a:r>
            <a:r>
              <a:rPr lang="en-US" sz="900" b="0" i="0" strike="noStrike">
                <a:solidFill>
                  <a:srgbClr val="000000"/>
                </a:solidFill>
                <a:latin typeface="Calibri"/>
                <a:cs typeface="Calibri"/>
              </a:rPr>
              <a:t> </a:t>
            </a:r>
            <a:r>
              <a:rPr lang="en-US" sz="900" b="0" i="0" strike="noStrike">
                <a:solidFill>
                  <a:srgbClr val="000000"/>
                </a:solidFill>
                <a:latin typeface="Symbol"/>
              </a:rPr>
              <a:t>g</a:t>
            </a:r>
            <a:r>
              <a:rPr lang="en-US" sz="900" b="0" i="0" strike="noStrike" baseline="-25000">
                <a:solidFill>
                  <a:srgbClr val="000000"/>
                </a:solidFill>
                <a:latin typeface="Calibri"/>
                <a:cs typeface="Calibri"/>
              </a:rPr>
              <a:t>s</a:t>
            </a:r>
            <a:r>
              <a:rPr lang="en-US" sz="900" b="0" i="0" strike="noStrike">
                <a:solidFill>
                  <a:srgbClr val="000000"/>
                </a:solidFill>
                <a:latin typeface="Calibri"/>
                <a:cs typeface="Calibri"/>
              </a:rPr>
              <a:t> S</a:t>
            </a:r>
            <a:r>
              <a:rPr lang="en-US" sz="900" b="0" i="0" strike="noStrike" baseline="-25000">
                <a:solidFill>
                  <a:srgbClr val="000000"/>
                </a:solidFill>
                <a:latin typeface="Calibri"/>
                <a:cs typeface="Calibri"/>
              </a:rPr>
              <a:t>h </a:t>
            </a:r>
            <a:r>
              <a:rPr lang="en-US" sz="900" b="0" i="0" strike="noStrike" baseline="0">
                <a:solidFill>
                  <a:srgbClr val="000000"/>
                </a:solidFill>
                <a:latin typeface="Calibri"/>
                <a:cs typeface="Calibri"/>
              </a:rPr>
              <a:t>h</a:t>
            </a:r>
          </a:p>
        </xdr:txBody>
      </xdr:sp>
      <xdr:sp macro="" textlink="">
        <xdr:nvSpPr>
          <xdr:cNvPr id="801" name="Text Box 8517">
            <a:extLst>
              <a:ext uri="{FF2B5EF4-FFF2-40B4-BE49-F238E27FC236}">
                <a16:creationId xmlns:a16="http://schemas.microsoft.com/office/drawing/2014/main" id="{00000000-0008-0000-0000-000021030000}"/>
              </a:ext>
            </a:extLst>
          </xdr:cNvPr>
          <xdr:cNvSpPr txBox="1">
            <a:spLocks noChangeArrowheads="1"/>
          </xdr:cNvSpPr>
        </xdr:nvSpPr>
        <xdr:spPr bwMode="auto">
          <a:xfrm>
            <a:off x="2501040" y="30329109"/>
            <a:ext cx="335051" cy="29512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P</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p>
        </xdr:txBody>
      </xdr:sp>
      <xdr:sp macro="" textlink="">
        <xdr:nvSpPr>
          <xdr:cNvPr id="802" name="Text Box 8517">
            <a:extLst>
              <a:ext uri="{FF2B5EF4-FFF2-40B4-BE49-F238E27FC236}">
                <a16:creationId xmlns:a16="http://schemas.microsoft.com/office/drawing/2014/main" id="{00000000-0008-0000-0000-000022030000}"/>
              </a:ext>
            </a:extLst>
          </xdr:cNvPr>
          <xdr:cNvSpPr txBox="1">
            <a:spLocks noChangeArrowheads="1"/>
          </xdr:cNvSpPr>
        </xdr:nvSpPr>
        <xdr:spPr bwMode="auto">
          <a:xfrm>
            <a:off x="3065841" y="30357670"/>
            <a:ext cx="402062" cy="209445"/>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r>
              <a:rPr lang="en-US" sz="900" b="0" i="0" strike="noStrike" baseline="30000">
                <a:solidFill>
                  <a:srgbClr val="000000"/>
                </a:solidFill>
                <a:latin typeface="Calibri"/>
                <a:cs typeface="Calibri"/>
              </a:rPr>
              <a:t>2</a:t>
            </a:r>
          </a:p>
        </xdr:txBody>
      </xdr:sp>
      <xdr:sp macro="" textlink="">
        <xdr:nvSpPr>
          <xdr:cNvPr id="803" name="Text Box 8510">
            <a:extLst>
              <a:ext uri="{FF2B5EF4-FFF2-40B4-BE49-F238E27FC236}">
                <a16:creationId xmlns:a16="http://schemas.microsoft.com/office/drawing/2014/main" id="{00000000-0008-0000-0000-000023030000}"/>
              </a:ext>
            </a:extLst>
          </xdr:cNvPr>
          <xdr:cNvSpPr txBox="1">
            <a:spLocks noChangeArrowheads="1"/>
          </xdr:cNvSpPr>
        </xdr:nvSpPr>
        <xdr:spPr bwMode="auto">
          <a:xfrm>
            <a:off x="4157151" y="30348150"/>
            <a:ext cx="411635" cy="257047"/>
          </a:xfrm>
          <a:prstGeom prst="rect">
            <a:avLst/>
          </a:prstGeom>
          <a:noFill/>
          <a:ln w="9525">
            <a:noFill/>
            <a:miter lim="800000"/>
            <a:headEnd/>
            <a:tailEnd/>
          </a:ln>
        </xdr:spPr>
        <xdr:txBody>
          <a:bodyPr vertOverflow="clip" wrap="square" lIns="27432" tIns="22860" rIns="0" bIns="0" anchor="t" upright="1"/>
          <a:lstStyle/>
          <a:p>
            <a:pPr algn="l" rtl="1">
              <a:defRPr sz="1000"/>
            </a:pPr>
            <a:r>
              <a:rPr lang="en-US" sz="900" b="0" i="0" strike="noStrike">
                <a:solidFill>
                  <a:srgbClr val="000000"/>
                </a:solidFill>
                <a:latin typeface="Arial"/>
                <a:cs typeface="Arial"/>
              </a:rPr>
              <a:t>  P</a:t>
            </a:r>
            <a:r>
              <a:rPr lang="en-US" sz="900" b="0" i="0" strike="noStrike" baseline="-25000">
                <a:solidFill>
                  <a:srgbClr val="000000"/>
                </a:solidFill>
                <a:latin typeface="Arial"/>
                <a:cs typeface="Arial"/>
              </a:rPr>
              <a:t>sp</a:t>
            </a:r>
            <a:r>
              <a:rPr lang="en-US" sz="900" b="0" i="0" strike="noStrike">
                <a:solidFill>
                  <a:srgbClr val="000000"/>
                </a:solidFill>
                <a:latin typeface="Arial"/>
                <a:cs typeface="Arial"/>
              </a:rPr>
              <a:t> = </a:t>
            </a:r>
            <a:endParaRPr lang="en-US" sz="900" b="0" i="0" strike="noStrike" baseline="30000">
              <a:solidFill>
                <a:srgbClr val="000000"/>
              </a:solidFill>
              <a:latin typeface="Arial"/>
              <a:cs typeface="Arial"/>
            </a:endParaRPr>
          </a:p>
        </xdr:txBody>
      </xdr:sp>
      <xdr:sp macro="" textlink="">
        <xdr:nvSpPr>
          <xdr:cNvPr id="804" name="Text Box 8517">
            <a:extLst>
              <a:ext uri="{FF2B5EF4-FFF2-40B4-BE49-F238E27FC236}">
                <a16:creationId xmlns:a16="http://schemas.microsoft.com/office/drawing/2014/main" id="{00000000-0008-0000-0000-000024030000}"/>
              </a:ext>
            </a:extLst>
          </xdr:cNvPr>
          <xdr:cNvSpPr txBox="1">
            <a:spLocks noChangeArrowheads="1"/>
          </xdr:cNvSpPr>
        </xdr:nvSpPr>
        <xdr:spPr bwMode="auto">
          <a:xfrm>
            <a:off x="4922983" y="30357670"/>
            <a:ext cx="497791" cy="266567"/>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r>
              <a:rPr lang="en-US" sz="900" b="0" i="0" strike="noStrike" baseline="30000">
                <a:solidFill>
                  <a:srgbClr val="000000"/>
                </a:solidFill>
                <a:latin typeface="Calibri"/>
                <a:cs typeface="Calibri"/>
              </a:rPr>
              <a:t>2</a:t>
            </a:r>
          </a:p>
        </xdr:txBody>
      </xdr:sp>
      <xdr:cxnSp macro="">
        <xdr:nvCxnSpPr>
          <xdr:cNvPr id="847" name="Straight Connector 846">
            <a:extLst>
              <a:ext uri="{FF2B5EF4-FFF2-40B4-BE49-F238E27FC236}">
                <a16:creationId xmlns:a16="http://schemas.microsoft.com/office/drawing/2014/main" id="{00000000-0008-0000-0000-00004F030000}"/>
              </a:ext>
            </a:extLst>
          </xdr:cNvPr>
          <xdr:cNvCxnSpPr/>
        </xdr:nvCxnSpPr>
        <xdr:spPr>
          <a:xfrm rot="5400000">
            <a:off x="1513009" y="31124050"/>
            <a:ext cx="999626" cy="0"/>
          </a:xfrm>
          <a:prstGeom prst="line">
            <a:avLst/>
          </a:prstGeom>
          <a:ln w="19050">
            <a:headEnd type="oval"/>
            <a:tailEnd type="oval"/>
          </a:ln>
        </xdr:spPr>
        <xdr:style>
          <a:lnRef idx="1">
            <a:schemeClr val="dk1"/>
          </a:lnRef>
          <a:fillRef idx="0">
            <a:schemeClr val="dk1"/>
          </a:fillRef>
          <a:effectRef idx="0">
            <a:schemeClr val="dk1"/>
          </a:effectRef>
          <a:fontRef idx="minor">
            <a:schemeClr val="tx1"/>
          </a:fontRef>
        </xdr:style>
      </xdr:cxnSp>
      <xdr:cxnSp macro="">
        <xdr:nvCxnSpPr>
          <xdr:cNvPr id="850" name="Straight Connector 849">
            <a:extLst>
              <a:ext uri="{FF2B5EF4-FFF2-40B4-BE49-F238E27FC236}">
                <a16:creationId xmlns:a16="http://schemas.microsoft.com/office/drawing/2014/main" id="{00000000-0008-0000-0000-000052030000}"/>
              </a:ext>
            </a:extLst>
          </xdr:cNvPr>
          <xdr:cNvCxnSpPr/>
        </xdr:nvCxnSpPr>
        <xdr:spPr>
          <a:xfrm rot="5400000">
            <a:off x="2929720" y="31133543"/>
            <a:ext cx="971065" cy="9573"/>
          </a:xfrm>
          <a:prstGeom prst="line">
            <a:avLst/>
          </a:prstGeom>
          <a:ln w="19050">
            <a:headEnd type="oval" w="med" len="med"/>
            <a:tailEnd type="oval" w="med" len="med"/>
          </a:ln>
        </xdr:spPr>
        <xdr:style>
          <a:lnRef idx="1">
            <a:schemeClr val="dk1"/>
          </a:lnRef>
          <a:fillRef idx="0">
            <a:schemeClr val="dk1"/>
          </a:fillRef>
          <a:effectRef idx="0">
            <a:schemeClr val="dk1"/>
          </a:effectRef>
          <a:fontRef idx="minor">
            <a:schemeClr val="tx1"/>
          </a:fontRef>
        </xdr:style>
      </xdr:cxnSp>
      <xdr:sp macro="" textlink="">
        <xdr:nvSpPr>
          <xdr:cNvPr id="1057" name="Text Box 8517">
            <a:extLst>
              <a:ext uri="{FF2B5EF4-FFF2-40B4-BE49-F238E27FC236}">
                <a16:creationId xmlns:a16="http://schemas.microsoft.com/office/drawing/2014/main" id="{00000000-0008-0000-0000-000021040000}"/>
              </a:ext>
            </a:extLst>
          </xdr:cNvPr>
          <xdr:cNvSpPr txBox="1">
            <a:spLocks noChangeArrowheads="1"/>
          </xdr:cNvSpPr>
        </xdr:nvSpPr>
        <xdr:spPr bwMode="auto">
          <a:xfrm>
            <a:off x="1457594" y="31024087"/>
            <a:ext cx="679676" cy="276087"/>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baseline="0">
                <a:solidFill>
                  <a:srgbClr val="000000"/>
                </a:solidFill>
                <a:latin typeface="Calibri"/>
                <a:cs typeface="Calibri"/>
              </a:rPr>
              <a:t>Lever Arm</a:t>
            </a:r>
            <a:endParaRPr lang="en-US" sz="900" b="0" i="0" strike="noStrike" baseline="30000">
              <a:solidFill>
                <a:srgbClr val="000000"/>
              </a:solidFill>
              <a:latin typeface="Calibri"/>
              <a:cs typeface="Calibri"/>
            </a:endParaRPr>
          </a:p>
        </xdr:txBody>
      </xdr:sp>
      <xdr:sp macro="" textlink="">
        <xdr:nvSpPr>
          <xdr:cNvPr id="1060" name="Text Box 8517">
            <a:extLst>
              <a:ext uri="{FF2B5EF4-FFF2-40B4-BE49-F238E27FC236}">
                <a16:creationId xmlns:a16="http://schemas.microsoft.com/office/drawing/2014/main" id="{00000000-0008-0000-0000-000024040000}"/>
              </a:ext>
            </a:extLst>
          </xdr:cNvPr>
          <xdr:cNvSpPr txBox="1">
            <a:spLocks noChangeArrowheads="1"/>
          </xdr:cNvSpPr>
        </xdr:nvSpPr>
        <xdr:spPr bwMode="auto">
          <a:xfrm>
            <a:off x="2883956" y="31166891"/>
            <a:ext cx="689249" cy="276087"/>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baseline="0">
                <a:solidFill>
                  <a:srgbClr val="000000"/>
                </a:solidFill>
                <a:latin typeface="Calibri"/>
                <a:cs typeface="Calibri"/>
              </a:rPr>
              <a:t>Lever Arm</a:t>
            </a:r>
            <a:endParaRPr lang="en-US" sz="900" b="0" i="0" strike="noStrike" baseline="30000">
              <a:solidFill>
                <a:srgbClr val="000000"/>
              </a:solidFill>
              <a:latin typeface="Calibri"/>
              <a:cs typeface="Calibri"/>
            </a:endParaRPr>
          </a:p>
        </xdr:txBody>
      </xdr:sp>
      <xdr:sp macro="" textlink="">
        <xdr:nvSpPr>
          <xdr:cNvPr id="1061" name="Text Box 8517">
            <a:extLst>
              <a:ext uri="{FF2B5EF4-FFF2-40B4-BE49-F238E27FC236}">
                <a16:creationId xmlns:a16="http://schemas.microsoft.com/office/drawing/2014/main" id="{00000000-0008-0000-0000-000025040000}"/>
              </a:ext>
            </a:extLst>
          </xdr:cNvPr>
          <xdr:cNvSpPr txBox="1">
            <a:spLocks noChangeArrowheads="1"/>
          </xdr:cNvSpPr>
        </xdr:nvSpPr>
        <xdr:spPr bwMode="auto">
          <a:xfrm>
            <a:off x="2453175" y="31490579"/>
            <a:ext cx="335051" cy="190405"/>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M</a:t>
            </a:r>
            <a:r>
              <a:rPr lang="en-US" sz="900" b="0" i="0" strike="noStrike" baseline="-25000">
                <a:solidFill>
                  <a:srgbClr val="000000"/>
                </a:solidFill>
                <a:latin typeface="Calibri"/>
                <a:cs typeface="Calibri"/>
              </a:rPr>
              <a:t>lls</a:t>
            </a:r>
            <a:r>
              <a:rPr lang="en-US" sz="900" b="0" i="0" strike="noStrike" baseline="0">
                <a:solidFill>
                  <a:srgbClr val="000000"/>
                </a:solidFill>
                <a:latin typeface="Calibri"/>
                <a:cs typeface="Calibri"/>
              </a:rPr>
              <a:t> = </a:t>
            </a:r>
          </a:p>
        </xdr:txBody>
      </xdr:sp>
      <xdr:sp macro="" textlink="">
        <xdr:nvSpPr>
          <xdr:cNvPr id="1063" name="Text Box 8517">
            <a:extLst>
              <a:ext uri="{FF2B5EF4-FFF2-40B4-BE49-F238E27FC236}">
                <a16:creationId xmlns:a16="http://schemas.microsoft.com/office/drawing/2014/main" id="{00000000-0008-0000-0000-000027040000}"/>
              </a:ext>
            </a:extLst>
          </xdr:cNvPr>
          <xdr:cNvSpPr txBox="1">
            <a:spLocks noChangeArrowheads="1"/>
          </xdr:cNvSpPr>
        </xdr:nvSpPr>
        <xdr:spPr bwMode="auto">
          <a:xfrm>
            <a:off x="4262453" y="30919364"/>
            <a:ext cx="411635" cy="32368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M</a:t>
            </a:r>
            <a:r>
              <a:rPr lang="en-US" sz="900" b="0" i="0" strike="noStrike" baseline="-25000">
                <a:solidFill>
                  <a:srgbClr val="000000"/>
                </a:solidFill>
                <a:latin typeface="Calibri"/>
                <a:cs typeface="Calibri"/>
              </a:rPr>
              <a:t>sp</a:t>
            </a:r>
            <a:r>
              <a:rPr lang="en-US" sz="900" b="0" i="0" strike="noStrike" baseline="0">
                <a:solidFill>
                  <a:srgbClr val="000000"/>
                </a:solidFill>
                <a:latin typeface="Calibri"/>
                <a:cs typeface="Calibri"/>
              </a:rPr>
              <a:t> = </a:t>
            </a:r>
          </a:p>
        </xdr:txBody>
      </xdr:sp>
      <xdr:sp macro="" textlink="">
        <xdr:nvSpPr>
          <xdr:cNvPr id="1064" name="Text Box 8517">
            <a:extLst>
              <a:ext uri="{FF2B5EF4-FFF2-40B4-BE49-F238E27FC236}">
                <a16:creationId xmlns:a16="http://schemas.microsoft.com/office/drawing/2014/main" id="{00000000-0008-0000-0000-000028040000}"/>
              </a:ext>
            </a:extLst>
          </xdr:cNvPr>
          <xdr:cNvSpPr txBox="1">
            <a:spLocks noChangeArrowheads="1"/>
          </xdr:cNvSpPr>
        </xdr:nvSpPr>
        <xdr:spPr bwMode="auto">
          <a:xfrm>
            <a:off x="4932556" y="30900324"/>
            <a:ext cx="344624" cy="295128"/>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kNm</a:t>
            </a:r>
            <a:r>
              <a:rPr lang="en-US" sz="900" b="0" i="0" strike="noStrike" baseline="0">
                <a:solidFill>
                  <a:srgbClr val="000000"/>
                </a:solidFill>
                <a:latin typeface="Calibri"/>
                <a:cs typeface="Calibri"/>
              </a:rPr>
              <a:t> </a:t>
            </a:r>
          </a:p>
        </xdr:txBody>
      </xdr:sp>
    </xdr:grpSp>
    <xdr:clientData/>
  </xdr:twoCellAnchor>
  <xdr:twoCellAnchor>
    <xdr:from>
      <xdr:col>0</xdr:col>
      <xdr:colOff>0</xdr:colOff>
      <xdr:row>206</xdr:row>
      <xdr:rowOff>164990</xdr:rowOff>
    </xdr:from>
    <xdr:to>
      <xdr:col>9</xdr:col>
      <xdr:colOff>8282</xdr:colOff>
      <xdr:row>210</xdr:row>
      <xdr:rowOff>12590</xdr:rowOff>
    </xdr:to>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a:off x="0" y="31787990"/>
          <a:ext cx="5503474"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000" b="0" i="0" u="none" strike="noStrike">
              <a:solidFill>
                <a:schemeClr val="dk1"/>
              </a:solidFill>
              <a:latin typeface="+mn-lt"/>
              <a:ea typeface="+mn-ea"/>
              <a:cs typeface="+mn-cs"/>
            </a:rPr>
            <a:t>Sliding/overturning Check - For Wall to be safe in sliding/overturning it must Pass in normal as well as seismic case</a:t>
          </a:r>
          <a:r>
            <a:rPr lang="en-IN" sz="1000"/>
            <a:t> the</a:t>
          </a:r>
          <a:r>
            <a:rPr lang="en-IN" sz="1000" baseline="0"/>
            <a:t> worst condition in which the factor of safety is minimum is When Surcharge load (live) is not on the wall but its pressure is there (i.e. live load is after the heel slab) &amp; acceleration is up.</a:t>
          </a:r>
          <a:endParaRPr lang="en-IN" sz="1000"/>
        </a:p>
      </xdr:txBody>
    </xdr:sp>
    <xdr:clientData/>
  </xdr:twoCellAnchor>
  <xdr:twoCellAnchor>
    <xdr:from>
      <xdr:col>4</xdr:col>
      <xdr:colOff>38100</xdr:colOff>
      <xdr:row>173</xdr:row>
      <xdr:rowOff>161925</xdr:rowOff>
    </xdr:from>
    <xdr:to>
      <xdr:col>4</xdr:col>
      <xdr:colOff>333375</xdr:colOff>
      <xdr:row>174</xdr:row>
      <xdr:rowOff>180975</xdr:rowOff>
    </xdr:to>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a:off x="2476500" y="25136475"/>
          <a:ext cx="2952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0</xdr:col>
      <xdr:colOff>47625</xdr:colOff>
      <xdr:row>210</xdr:row>
      <xdr:rowOff>76200</xdr:rowOff>
    </xdr:from>
    <xdr:to>
      <xdr:col>7</xdr:col>
      <xdr:colOff>52495</xdr:colOff>
      <xdr:row>230</xdr:row>
      <xdr:rowOff>190500</xdr:rowOff>
    </xdr:to>
    <xdr:grpSp>
      <xdr:nvGrpSpPr>
        <xdr:cNvPr id="3096" name="Group 1303">
          <a:extLst>
            <a:ext uri="{FF2B5EF4-FFF2-40B4-BE49-F238E27FC236}">
              <a16:creationId xmlns:a16="http://schemas.microsoft.com/office/drawing/2014/main" id="{00000000-0008-0000-0000-0000180C0000}"/>
            </a:ext>
          </a:extLst>
        </xdr:cNvPr>
        <xdr:cNvGrpSpPr>
          <a:grpSpLocks/>
        </xdr:cNvGrpSpPr>
      </xdr:nvGrpSpPr>
      <xdr:grpSpPr bwMode="auto">
        <a:xfrm>
          <a:off x="47625" y="41871900"/>
          <a:ext cx="4348270" cy="4210050"/>
          <a:chOff x="49301" y="31752648"/>
          <a:chExt cx="4275985" cy="4244325"/>
        </a:xfrm>
      </xdr:grpSpPr>
      <xdr:grpSp>
        <xdr:nvGrpSpPr>
          <xdr:cNvPr id="3700" name="Group 1125">
            <a:extLst>
              <a:ext uri="{FF2B5EF4-FFF2-40B4-BE49-F238E27FC236}">
                <a16:creationId xmlns:a16="http://schemas.microsoft.com/office/drawing/2014/main" id="{00000000-0008-0000-0000-0000740E0000}"/>
              </a:ext>
            </a:extLst>
          </xdr:cNvPr>
          <xdr:cNvGrpSpPr>
            <a:grpSpLocks/>
          </xdr:cNvGrpSpPr>
        </xdr:nvGrpSpPr>
        <xdr:grpSpPr bwMode="auto">
          <a:xfrm>
            <a:off x="124966" y="31752648"/>
            <a:ext cx="2405894" cy="1598707"/>
            <a:chOff x="126508" y="31838373"/>
            <a:chExt cx="2435597" cy="1461028"/>
          </a:xfrm>
        </xdr:grpSpPr>
        <xdr:sp macro="" textlink="">
          <xdr:nvSpPr>
            <xdr:cNvPr id="3811" name="Line 279">
              <a:extLst>
                <a:ext uri="{FF2B5EF4-FFF2-40B4-BE49-F238E27FC236}">
                  <a16:creationId xmlns:a16="http://schemas.microsoft.com/office/drawing/2014/main" id="{00000000-0008-0000-0000-0000E30E0000}"/>
                </a:ext>
              </a:extLst>
            </xdr:cNvPr>
            <xdr:cNvSpPr>
              <a:spLocks noChangeShapeType="1"/>
            </xdr:cNvSpPr>
          </xdr:nvSpPr>
          <xdr:spPr bwMode="auto">
            <a:xfrm flipH="1">
              <a:off x="188972" y="33066055"/>
              <a:ext cx="460557" cy="130901"/>
            </a:xfrm>
            <a:prstGeom prst="line">
              <a:avLst/>
            </a:prstGeom>
            <a:noFill/>
            <a:ln w="9525">
              <a:solidFill>
                <a:srgbClr val="000000"/>
              </a:solidFill>
              <a:prstDash val="dash"/>
              <a:round/>
              <a:headEnd/>
              <a:tailEnd/>
            </a:ln>
          </xdr:spPr>
        </xdr:sp>
        <xdr:sp macro="" textlink="">
          <xdr:nvSpPr>
            <xdr:cNvPr id="3812" name="Line 280">
              <a:extLst>
                <a:ext uri="{FF2B5EF4-FFF2-40B4-BE49-F238E27FC236}">
                  <a16:creationId xmlns:a16="http://schemas.microsoft.com/office/drawing/2014/main" id="{00000000-0008-0000-0000-0000E40E0000}"/>
                </a:ext>
              </a:extLst>
            </xdr:cNvPr>
            <xdr:cNvSpPr>
              <a:spLocks noChangeShapeType="1"/>
            </xdr:cNvSpPr>
          </xdr:nvSpPr>
          <xdr:spPr bwMode="auto">
            <a:xfrm>
              <a:off x="1037143" y="33054673"/>
              <a:ext cx="449615" cy="142284"/>
            </a:xfrm>
            <a:prstGeom prst="line">
              <a:avLst/>
            </a:prstGeom>
            <a:noFill/>
            <a:ln w="9525">
              <a:solidFill>
                <a:srgbClr val="000000"/>
              </a:solidFill>
              <a:prstDash val="dash"/>
              <a:round/>
              <a:headEnd/>
              <a:tailEnd/>
            </a:ln>
          </xdr:spPr>
        </xdr:sp>
        <xdr:sp macro="" textlink="">
          <xdr:nvSpPr>
            <xdr:cNvPr id="3813" name="Line 357">
              <a:extLst>
                <a:ext uri="{FF2B5EF4-FFF2-40B4-BE49-F238E27FC236}">
                  <a16:creationId xmlns:a16="http://schemas.microsoft.com/office/drawing/2014/main" id="{00000000-0008-0000-0000-0000E50E0000}"/>
                </a:ext>
              </a:extLst>
            </xdr:cNvPr>
            <xdr:cNvSpPr>
              <a:spLocks noChangeShapeType="1"/>
            </xdr:cNvSpPr>
          </xdr:nvSpPr>
          <xdr:spPr bwMode="auto">
            <a:xfrm flipH="1">
              <a:off x="258265" y="32781488"/>
              <a:ext cx="43764" cy="34148"/>
            </a:xfrm>
            <a:prstGeom prst="line">
              <a:avLst/>
            </a:prstGeom>
            <a:noFill/>
            <a:ln w="9525">
              <a:solidFill>
                <a:srgbClr val="000000"/>
              </a:solidFill>
              <a:round/>
              <a:headEnd/>
              <a:tailEnd/>
            </a:ln>
          </xdr:spPr>
        </xdr:sp>
        <xdr:sp macro="" textlink="">
          <xdr:nvSpPr>
            <xdr:cNvPr id="3814" name="Line 358">
              <a:extLst>
                <a:ext uri="{FF2B5EF4-FFF2-40B4-BE49-F238E27FC236}">
                  <a16:creationId xmlns:a16="http://schemas.microsoft.com/office/drawing/2014/main" id="{00000000-0008-0000-0000-0000E60E0000}"/>
                </a:ext>
              </a:extLst>
            </xdr:cNvPr>
            <xdr:cNvSpPr>
              <a:spLocks noChangeShapeType="1"/>
            </xdr:cNvSpPr>
          </xdr:nvSpPr>
          <xdr:spPr bwMode="auto">
            <a:xfrm flipH="1">
              <a:off x="280148" y="32781488"/>
              <a:ext cx="43764" cy="34148"/>
            </a:xfrm>
            <a:prstGeom prst="line">
              <a:avLst/>
            </a:prstGeom>
            <a:noFill/>
            <a:ln w="9525">
              <a:solidFill>
                <a:srgbClr val="000000"/>
              </a:solidFill>
              <a:round/>
              <a:headEnd/>
              <a:tailEnd/>
            </a:ln>
          </xdr:spPr>
        </xdr:sp>
        <xdr:sp macro="" textlink="">
          <xdr:nvSpPr>
            <xdr:cNvPr id="3815" name="Line 359">
              <a:extLst>
                <a:ext uri="{FF2B5EF4-FFF2-40B4-BE49-F238E27FC236}">
                  <a16:creationId xmlns:a16="http://schemas.microsoft.com/office/drawing/2014/main" id="{00000000-0008-0000-0000-0000E70E0000}"/>
                </a:ext>
              </a:extLst>
            </xdr:cNvPr>
            <xdr:cNvSpPr>
              <a:spLocks noChangeShapeType="1"/>
            </xdr:cNvSpPr>
          </xdr:nvSpPr>
          <xdr:spPr bwMode="auto">
            <a:xfrm flipH="1">
              <a:off x="305677" y="32781488"/>
              <a:ext cx="43764" cy="34148"/>
            </a:xfrm>
            <a:prstGeom prst="line">
              <a:avLst/>
            </a:prstGeom>
            <a:noFill/>
            <a:ln w="9525">
              <a:solidFill>
                <a:srgbClr val="000000"/>
              </a:solidFill>
              <a:round/>
              <a:headEnd/>
              <a:tailEnd/>
            </a:ln>
          </xdr:spPr>
        </xdr:sp>
        <xdr:sp macro="" textlink="">
          <xdr:nvSpPr>
            <xdr:cNvPr id="3816" name="Line 360">
              <a:extLst>
                <a:ext uri="{FF2B5EF4-FFF2-40B4-BE49-F238E27FC236}">
                  <a16:creationId xmlns:a16="http://schemas.microsoft.com/office/drawing/2014/main" id="{00000000-0008-0000-0000-0000E80E0000}"/>
                </a:ext>
              </a:extLst>
            </xdr:cNvPr>
            <xdr:cNvSpPr>
              <a:spLocks noChangeShapeType="1"/>
            </xdr:cNvSpPr>
          </xdr:nvSpPr>
          <xdr:spPr bwMode="auto">
            <a:xfrm>
              <a:off x="356735" y="32781488"/>
              <a:ext cx="40117" cy="39840"/>
            </a:xfrm>
            <a:prstGeom prst="line">
              <a:avLst/>
            </a:prstGeom>
            <a:noFill/>
            <a:ln w="9525">
              <a:solidFill>
                <a:srgbClr val="000000"/>
              </a:solidFill>
              <a:round/>
              <a:headEnd/>
              <a:tailEnd/>
            </a:ln>
          </xdr:spPr>
        </xdr:sp>
        <xdr:sp macro="" textlink="">
          <xdr:nvSpPr>
            <xdr:cNvPr id="3817" name="Line 361">
              <a:extLst>
                <a:ext uri="{FF2B5EF4-FFF2-40B4-BE49-F238E27FC236}">
                  <a16:creationId xmlns:a16="http://schemas.microsoft.com/office/drawing/2014/main" id="{00000000-0008-0000-0000-0000E90E0000}"/>
                </a:ext>
              </a:extLst>
            </xdr:cNvPr>
            <xdr:cNvSpPr>
              <a:spLocks noChangeShapeType="1"/>
            </xdr:cNvSpPr>
          </xdr:nvSpPr>
          <xdr:spPr bwMode="auto">
            <a:xfrm>
              <a:off x="382264" y="32781488"/>
              <a:ext cx="36471" cy="39840"/>
            </a:xfrm>
            <a:prstGeom prst="line">
              <a:avLst/>
            </a:prstGeom>
            <a:noFill/>
            <a:ln w="9525">
              <a:solidFill>
                <a:srgbClr val="000000"/>
              </a:solidFill>
              <a:round/>
              <a:headEnd/>
              <a:tailEnd/>
            </a:ln>
          </xdr:spPr>
        </xdr:sp>
        <xdr:sp macro="" textlink="">
          <xdr:nvSpPr>
            <xdr:cNvPr id="3818" name="Line 362">
              <a:extLst>
                <a:ext uri="{FF2B5EF4-FFF2-40B4-BE49-F238E27FC236}">
                  <a16:creationId xmlns:a16="http://schemas.microsoft.com/office/drawing/2014/main" id="{00000000-0008-0000-0000-0000EA0E0000}"/>
                </a:ext>
              </a:extLst>
            </xdr:cNvPr>
            <xdr:cNvSpPr>
              <a:spLocks noChangeShapeType="1"/>
            </xdr:cNvSpPr>
          </xdr:nvSpPr>
          <xdr:spPr bwMode="auto">
            <a:xfrm>
              <a:off x="407794" y="32787180"/>
              <a:ext cx="36471" cy="39840"/>
            </a:xfrm>
            <a:prstGeom prst="line">
              <a:avLst/>
            </a:prstGeom>
            <a:noFill/>
            <a:ln w="9525">
              <a:solidFill>
                <a:srgbClr val="000000"/>
              </a:solidFill>
              <a:round/>
              <a:headEnd/>
              <a:tailEnd/>
            </a:ln>
          </xdr:spPr>
        </xdr:sp>
        <xdr:sp macro="" textlink="">
          <xdr:nvSpPr>
            <xdr:cNvPr id="3819" name="Line 293">
              <a:extLst>
                <a:ext uri="{FF2B5EF4-FFF2-40B4-BE49-F238E27FC236}">
                  <a16:creationId xmlns:a16="http://schemas.microsoft.com/office/drawing/2014/main" id="{00000000-0008-0000-0000-0000EB0E0000}"/>
                </a:ext>
              </a:extLst>
            </xdr:cNvPr>
            <xdr:cNvSpPr>
              <a:spLocks noChangeShapeType="1"/>
            </xdr:cNvSpPr>
          </xdr:nvSpPr>
          <xdr:spPr bwMode="auto">
            <a:xfrm>
              <a:off x="181678" y="33293709"/>
              <a:ext cx="1305080" cy="0"/>
            </a:xfrm>
            <a:prstGeom prst="line">
              <a:avLst/>
            </a:prstGeom>
            <a:noFill/>
            <a:ln w="9525">
              <a:solidFill>
                <a:srgbClr val="000000"/>
              </a:solidFill>
              <a:prstDash val="dash"/>
              <a:round/>
              <a:headEnd/>
              <a:tailEnd/>
            </a:ln>
          </xdr:spPr>
        </xdr:sp>
        <xdr:sp macro="" textlink="">
          <xdr:nvSpPr>
            <xdr:cNvPr id="3820" name="Line 294">
              <a:extLst>
                <a:ext uri="{FF2B5EF4-FFF2-40B4-BE49-F238E27FC236}">
                  <a16:creationId xmlns:a16="http://schemas.microsoft.com/office/drawing/2014/main" id="{00000000-0008-0000-0000-0000EC0E0000}"/>
                </a:ext>
              </a:extLst>
            </xdr:cNvPr>
            <xdr:cNvSpPr>
              <a:spLocks noChangeShapeType="1"/>
            </xdr:cNvSpPr>
          </xdr:nvSpPr>
          <xdr:spPr bwMode="auto">
            <a:xfrm flipH="1">
              <a:off x="181678" y="33202648"/>
              <a:ext cx="0" cy="96753"/>
            </a:xfrm>
            <a:prstGeom prst="line">
              <a:avLst/>
            </a:prstGeom>
            <a:noFill/>
            <a:ln w="9525">
              <a:solidFill>
                <a:srgbClr val="000000"/>
              </a:solidFill>
              <a:prstDash val="dash"/>
              <a:round/>
              <a:headEnd/>
              <a:tailEnd/>
            </a:ln>
          </xdr:spPr>
        </xdr:sp>
        <xdr:sp macro="" textlink="">
          <xdr:nvSpPr>
            <xdr:cNvPr id="3821" name="Line 295">
              <a:extLst>
                <a:ext uri="{FF2B5EF4-FFF2-40B4-BE49-F238E27FC236}">
                  <a16:creationId xmlns:a16="http://schemas.microsoft.com/office/drawing/2014/main" id="{00000000-0008-0000-0000-0000ED0E0000}"/>
                </a:ext>
              </a:extLst>
            </xdr:cNvPr>
            <xdr:cNvSpPr>
              <a:spLocks noChangeShapeType="1"/>
            </xdr:cNvSpPr>
          </xdr:nvSpPr>
          <xdr:spPr bwMode="auto">
            <a:xfrm flipH="1">
              <a:off x="1486758" y="33196956"/>
              <a:ext cx="0" cy="91062"/>
            </a:xfrm>
            <a:prstGeom prst="line">
              <a:avLst/>
            </a:prstGeom>
            <a:noFill/>
            <a:ln w="9525">
              <a:solidFill>
                <a:srgbClr val="000000"/>
              </a:solidFill>
              <a:prstDash val="dash"/>
              <a:round/>
              <a:headEnd/>
              <a:tailEnd/>
            </a:ln>
          </xdr:spPr>
        </xdr:sp>
        <xdr:sp macro="" textlink="">
          <xdr:nvSpPr>
            <xdr:cNvPr id="3822" name="Line 296">
              <a:extLst>
                <a:ext uri="{FF2B5EF4-FFF2-40B4-BE49-F238E27FC236}">
                  <a16:creationId xmlns:a16="http://schemas.microsoft.com/office/drawing/2014/main" id="{00000000-0008-0000-0000-0000EE0E0000}"/>
                </a:ext>
              </a:extLst>
            </xdr:cNvPr>
            <xdr:cNvSpPr>
              <a:spLocks noChangeShapeType="1"/>
            </xdr:cNvSpPr>
          </xdr:nvSpPr>
          <xdr:spPr bwMode="auto">
            <a:xfrm flipH="1">
              <a:off x="700587" y="32189587"/>
              <a:ext cx="87529" cy="591900"/>
            </a:xfrm>
            <a:prstGeom prst="line">
              <a:avLst/>
            </a:prstGeom>
            <a:noFill/>
            <a:ln w="9525">
              <a:solidFill>
                <a:srgbClr val="000000"/>
              </a:solidFill>
              <a:round/>
              <a:headEnd/>
              <a:tailEnd/>
            </a:ln>
          </xdr:spPr>
        </xdr:sp>
        <xdr:sp macro="" textlink="">
          <xdr:nvSpPr>
            <xdr:cNvPr id="3823" name="Line 297">
              <a:extLst>
                <a:ext uri="{FF2B5EF4-FFF2-40B4-BE49-F238E27FC236}">
                  <a16:creationId xmlns:a16="http://schemas.microsoft.com/office/drawing/2014/main" id="{00000000-0008-0000-0000-0000EF0E0000}"/>
                </a:ext>
              </a:extLst>
            </xdr:cNvPr>
            <xdr:cNvSpPr>
              <a:spLocks noChangeShapeType="1"/>
            </xdr:cNvSpPr>
          </xdr:nvSpPr>
          <xdr:spPr bwMode="auto">
            <a:xfrm flipH="1">
              <a:off x="649528" y="32775797"/>
              <a:ext cx="51058" cy="284567"/>
            </a:xfrm>
            <a:prstGeom prst="line">
              <a:avLst/>
            </a:prstGeom>
            <a:noFill/>
            <a:ln w="9525">
              <a:solidFill>
                <a:srgbClr val="000000"/>
              </a:solidFill>
              <a:prstDash val="dash"/>
              <a:round/>
              <a:headEnd/>
              <a:tailEnd/>
            </a:ln>
          </xdr:spPr>
        </xdr:sp>
        <xdr:sp macro="" textlink="">
          <xdr:nvSpPr>
            <xdr:cNvPr id="3824" name="Line 299">
              <a:extLst>
                <a:ext uri="{FF2B5EF4-FFF2-40B4-BE49-F238E27FC236}">
                  <a16:creationId xmlns:a16="http://schemas.microsoft.com/office/drawing/2014/main" id="{00000000-0008-0000-0000-0000F00E0000}"/>
                </a:ext>
              </a:extLst>
            </xdr:cNvPr>
            <xdr:cNvSpPr>
              <a:spLocks noChangeShapeType="1"/>
            </xdr:cNvSpPr>
          </xdr:nvSpPr>
          <xdr:spPr bwMode="auto">
            <a:xfrm>
              <a:off x="791762" y="32189587"/>
              <a:ext cx="105764" cy="0"/>
            </a:xfrm>
            <a:prstGeom prst="line">
              <a:avLst/>
            </a:prstGeom>
            <a:noFill/>
            <a:ln w="9525">
              <a:solidFill>
                <a:srgbClr val="000000"/>
              </a:solidFill>
              <a:round/>
              <a:headEnd/>
              <a:tailEnd/>
            </a:ln>
          </xdr:spPr>
        </xdr:sp>
        <xdr:sp macro="" textlink="">
          <xdr:nvSpPr>
            <xdr:cNvPr id="3825" name="Line 300">
              <a:extLst>
                <a:ext uri="{FF2B5EF4-FFF2-40B4-BE49-F238E27FC236}">
                  <a16:creationId xmlns:a16="http://schemas.microsoft.com/office/drawing/2014/main" id="{00000000-0008-0000-0000-0000F10E0000}"/>
                </a:ext>
              </a:extLst>
            </xdr:cNvPr>
            <xdr:cNvSpPr>
              <a:spLocks noChangeShapeType="1"/>
            </xdr:cNvSpPr>
          </xdr:nvSpPr>
          <xdr:spPr bwMode="auto">
            <a:xfrm>
              <a:off x="897526" y="32189587"/>
              <a:ext cx="91175" cy="591900"/>
            </a:xfrm>
            <a:prstGeom prst="line">
              <a:avLst/>
            </a:prstGeom>
            <a:noFill/>
            <a:ln w="9525">
              <a:solidFill>
                <a:srgbClr val="000000"/>
              </a:solidFill>
              <a:round/>
              <a:headEnd/>
              <a:tailEnd/>
            </a:ln>
          </xdr:spPr>
        </xdr:sp>
        <xdr:sp macro="" textlink="">
          <xdr:nvSpPr>
            <xdr:cNvPr id="3826" name="Line 301">
              <a:extLst>
                <a:ext uri="{FF2B5EF4-FFF2-40B4-BE49-F238E27FC236}">
                  <a16:creationId xmlns:a16="http://schemas.microsoft.com/office/drawing/2014/main" id="{00000000-0008-0000-0000-0000F20E0000}"/>
                </a:ext>
              </a:extLst>
            </xdr:cNvPr>
            <xdr:cNvSpPr>
              <a:spLocks noChangeShapeType="1"/>
            </xdr:cNvSpPr>
          </xdr:nvSpPr>
          <xdr:spPr bwMode="auto">
            <a:xfrm>
              <a:off x="989732" y="32792871"/>
              <a:ext cx="51058" cy="261802"/>
            </a:xfrm>
            <a:prstGeom prst="line">
              <a:avLst/>
            </a:prstGeom>
            <a:noFill/>
            <a:ln w="9525">
              <a:solidFill>
                <a:srgbClr val="000000"/>
              </a:solidFill>
              <a:prstDash val="dash"/>
              <a:round/>
              <a:headEnd/>
              <a:tailEnd/>
            </a:ln>
          </xdr:spPr>
        </xdr:sp>
        <xdr:sp macro="" textlink="">
          <xdr:nvSpPr>
            <xdr:cNvPr id="3827" name="Line 8415">
              <a:extLst>
                <a:ext uri="{FF2B5EF4-FFF2-40B4-BE49-F238E27FC236}">
                  <a16:creationId xmlns:a16="http://schemas.microsoft.com/office/drawing/2014/main" id="{00000000-0008-0000-0000-0000F30E0000}"/>
                </a:ext>
              </a:extLst>
            </xdr:cNvPr>
            <xdr:cNvSpPr>
              <a:spLocks noChangeShapeType="1"/>
            </xdr:cNvSpPr>
          </xdr:nvSpPr>
          <xdr:spPr bwMode="auto">
            <a:xfrm>
              <a:off x="649528" y="33060364"/>
              <a:ext cx="387615" cy="0"/>
            </a:xfrm>
            <a:prstGeom prst="line">
              <a:avLst/>
            </a:prstGeom>
            <a:noFill/>
            <a:ln w="9525">
              <a:solidFill>
                <a:srgbClr val="000000"/>
              </a:solidFill>
              <a:prstDash val="dash"/>
              <a:round/>
              <a:headEnd/>
              <a:tailEnd/>
            </a:ln>
          </xdr:spPr>
        </xdr:sp>
        <xdr:cxnSp macro="">
          <xdr:nvCxnSpPr>
            <xdr:cNvPr id="1099" name="Straight Connector 1098">
              <a:extLst>
                <a:ext uri="{FF2B5EF4-FFF2-40B4-BE49-F238E27FC236}">
                  <a16:creationId xmlns:a16="http://schemas.microsoft.com/office/drawing/2014/main" id="{00000000-0008-0000-0000-00004B040000}"/>
                </a:ext>
              </a:extLst>
            </xdr:cNvPr>
            <xdr:cNvCxnSpPr>
              <a:stCxn id="3825" idx="0"/>
            </xdr:cNvCxnSpPr>
          </xdr:nvCxnSpPr>
          <xdr:spPr>
            <a:xfrm rot="16200000" flipH="1">
              <a:off x="1669339" y="31415288"/>
              <a:ext cx="17551" cy="1565767"/>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829" name="Line 357">
              <a:extLst>
                <a:ext uri="{FF2B5EF4-FFF2-40B4-BE49-F238E27FC236}">
                  <a16:creationId xmlns:a16="http://schemas.microsoft.com/office/drawing/2014/main" id="{00000000-0008-0000-0000-0000F50E0000}"/>
                </a:ext>
              </a:extLst>
            </xdr:cNvPr>
            <xdr:cNvSpPr>
              <a:spLocks noChangeShapeType="1"/>
            </xdr:cNvSpPr>
          </xdr:nvSpPr>
          <xdr:spPr bwMode="auto">
            <a:xfrm flipH="1">
              <a:off x="1243304" y="32203954"/>
              <a:ext cx="43764" cy="34148"/>
            </a:xfrm>
            <a:prstGeom prst="line">
              <a:avLst/>
            </a:prstGeom>
            <a:noFill/>
            <a:ln w="9525">
              <a:solidFill>
                <a:srgbClr val="000000"/>
              </a:solidFill>
              <a:round/>
              <a:headEnd/>
              <a:tailEnd/>
            </a:ln>
          </xdr:spPr>
        </xdr:sp>
        <xdr:sp macro="" textlink="">
          <xdr:nvSpPr>
            <xdr:cNvPr id="3830" name="Line 358">
              <a:extLst>
                <a:ext uri="{FF2B5EF4-FFF2-40B4-BE49-F238E27FC236}">
                  <a16:creationId xmlns:a16="http://schemas.microsoft.com/office/drawing/2014/main" id="{00000000-0008-0000-0000-0000F60E0000}"/>
                </a:ext>
              </a:extLst>
            </xdr:cNvPr>
            <xdr:cNvSpPr>
              <a:spLocks noChangeShapeType="1"/>
            </xdr:cNvSpPr>
          </xdr:nvSpPr>
          <xdr:spPr bwMode="auto">
            <a:xfrm flipH="1">
              <a:off x="1265186" y="32203954"/>
              <a:ext cx="43764" cy="34148"/>
            </a:xfrm>
            <a:prstGeom prst="line">
              <a:avLst/>
            </a:prstGeom>
            <a:noFill/>
            <a:ln w="9525">
              <a:solidFill>
                <a:srgbClr val="000000"/>
              </a:solidFill>
              <a:round/>
              <a:headEnd/>
              <a:tailEnd/>
            </a:ln>
          </xdr:spPr>
        </xdr:sp>
        <xdr:sp macro="" textlink="">
          <xdr:nvSpPr>
            <xdr:cNvPr id="3831" name="Line 359">
              <a:extLst>
                <a:ext uri="{FF2B5EF4-FFF2-40B4-BE49-F238E27FC236}">
                  <a16:creationId xmlns:a16="http://schemas.microsoft.com/office/drawing/2014/main" id="{00000000-0008-0000-0000-0000F70E0000}"/>
                </a:ext>
              </a:extLst>
            </xdr:cNvPr>
            <xdr:cNvSpPr>
              <a:spLocks noChangeShapeType="1"/>
            </xdr:cNvSpPr>
          </xdr:nvSpPr>
          <xdr:spPr bwMode="auto">
            <a:xfrm flipH="1">
              <a:off x="1290715" y="32203954"/>
              <a:ext cx="43764" cy="34148"/>
            </a:xfrm>
            <a:prstGeom prst="line">
              <a:avLst/>
            </a:prstGeom>
            <a:noFill/>
            <a:ln w="9525">
              <a:solidFill>
                <a:srgbClr val="000000"/>
              </a:solidFill>
              <a:round/>
              <a:headEnd/>
              <a:tailEnd/>
            </a:ln>
          </xdr:spPr>
        </xdr:sp>
        <xdr:sp macro="" textlink="">
          <xdr:nvSpPr>
            <xdr:cNvPr id="3832" name="Line 360">
              <a:extLst>
                <a:ext uri="{FF2B5EF4-FFF2-40B4-BE49-F238E27FC236}">
                  <a16:creationId xmlns:a16="http://schemas.microsoft.com/office/drawing/2014/main" id="{00000000-0008-0000-0000-0000F80E0000}"/>
                </a:ext>
              </a:extLst>
            </xdr:cNvPr>
            <xdr:cNvSpPr>
              <a:spLocks noChangeShapeType="1"/>
            </xdr:cNvSpPr>
          </xdr:nvSpPr>
          <xdr:spPr bwMode="auto">
            <a:xfrm>
              <a:off x="1341773" y="32203954"/>
              <a:ext cx="40117" cy="39840"/>
            </a:xfrm>
            <a:prstGeom prst="line">
              <a:avLst/>
            </a:prstGeom>
            <a:noFill/>
            <a:ln w="9525">
              <a:solidFill>
                <a:srgbClr val="000000"/>
              </a:solidFill>
              <a:round/>
              <a:headEnd/>
              <a:tailEnd/>
            </a:ln>
          </xdr:spPr>
        </xdr:sp>
        <xdr:sp macro="" textlink="">
          <xdr:nvSpPr>
            <xdr:cNvPr id="3833" name="Line 361">
              <a:extLst>
                <a:ext uri="{FF2B5EF4-FFF2-40B4-BE49-F238E27FC236}">
                  <a16:creationId xmlns:a16="http://schemas.microsoft.com/office/drawing/2014/main" id="{00000000-0008-0000-0000-0000F90E0000}"/>
                </a:ext>
              </a:extLst>
            </xdr:cNvPr>
            <xdr:cNvSpPr>
              <a:spLocks noChangeShapeType="1"/>
            </xdr:cNvSpPr>
          </xdr:nvSpPr>
          <xdr:spPr bwMode="auto">
            <a:xfrm>
              <a:off x="1367303" y="32203954"/>
              <a:ext cx="36471" cy="39840"/>
            </a:xfrm>
            <a:prstGeom prst="line">
              <a:avLst/>
            </a:prstGeom>
            <a:noFill/>
            <a:ln w="9525">
              <a:solidFill>
                <a:srgbClr val="000000"/>
              </a:solidFill>
              <a:round/>
              <a:headEnd/>
              <a:tailEnd/>
            </a:ln>
          </xdr:spPr>
        </xdr:sp>
        <xdr:sp macro="" textlink="">
          <xdr:nvSpPr>
            <xdr:cNvPr id="3834" name="Line 362">
              <a:extLst>
                <a:ext uri="{FF2B5EF4-FFF2-40B4-BE49-F238E27FC236}">
                  <a16:creationId xmlns:a16="http://schemas.microsoft.com/office/drawing/2014/main" id="{00000000-0008-0000-0000-0000FA0E0000}"/>
                </a:ext>
              </a:extLst>
            </xdr:cNvPr>
            <xdr:cNvSpPr>
              <a:spLocks noChangeShapeType="1"/>
            </xdr:cNvSpPr>
          </xdr:nvSpPr>
          <xdr:spPr bwMode="auto">
            <a:xfrm>
              <a:off x="1392832" y="32209646"/>
              <a:ext cx="36471" cy="39840"/>
            </a:xfrm>
            <a:prstGeom prst="line">
              <a:avLst/>
            </a:prstGeom>
            <a:noFill/>
            <a:ln w="9525">
              <a:solidFill>
                <a:srgbClr val="000000"/>
              </a:solidFill>
              <a:round/>
              <a:headEnd/>
              <a:tailEnd/>
            </a:ln>
          </xdr:spPr>
        </xdr:sp>
        <xdr:sp macro="" textlink="">
          <xdr:nvSpPr>
            <xdr:cNvPr id="3835" name="Line 8972">
              <a:extLst>
                <a:ext uri="{FF2B5EF4-FFF2-40B4-BE49-F238E27FC236}">
                  <a16:creationId xmlns:a16="http://schemas.microsoft.com/office/drawing/2014/main" id="{00000000-0008-0000-0000-0000FB0E0000}"/>
                </a:ext>
              </a:extLst>
            </xdr:cNvPr>
            <xdr:cNvSpPr>
              <a:spLocks noChangeShapeType="1"/>
            </xdr:cNvSpPr>
          </xdr:nvSpPr>
          <xdr:spPr bwMode="auto">
            <a:xfrm rot="16200000" flipH="1">
              <a:off x="1434703" y="32089621"/>
              <a:ext cx="176630" cy="0"/>
            </a:xfrm>
            <a:prstGeom prst="line">
              <a:avLst/>
            </a:prstGeom>
            <a:noFill/>
            <a:ln w="9525">
              <a:solidFill>
                <a:srgbClr val="000000"/>
              </a:solidFill>
              <a:round/>
              <a:headEnd/>
              <a:tailEnd type="arrow" w="med" len="med"/>
            </a:ln>
          </xdr:spPr>
        </xdr:sp>
        <xdr:sp macro="" textlink="">
          <xdr:nvSpPr>
            <xdr:cNvPr id="3836" name="Line 8973">
              <a:extLst>
                <a:ext uri="{FF2B5EF4-FFF2-40B4-BE49-F238E27FC236}">
                  <a16:creationId xmlns:a16="http://schemas.microsoft.com/office/drawing/2014/main" id="{00000000-0008-0000-0000-0000FC0E0000}"/>
                </a:ext>
              </a:extLst>
            </xdr:cNvPr>
            <xdr:cNvSpPr>
              <a:spLocks noChangeShapeType="1"/>
            </xdr:cNvSpPr>
          </xdr:nvSpPr>
          <xdr:spPr bwMode="auto">
            <a:xfrm rot="16200000" flipH="1">
              <a:off x="1512441" y="32089621"/>
              <a:ext cx="176630" cy="0"/>
            </a:xfrm>
            <a:prstGeom prst="line">
              <a:avLst/>
            </a:prstGeom>
            <a:noFill/>
            <a:ln w="9525">
              <a:solidFill>
                <a:srgbClr val="000000"/>
              </a:solidFill>
              <a:round/>
              <a:headEnd/>
              <a:tailEnd type="arrow" w="med" len="med"/>
            </a:ln>
          </xdr:spPr>
        </xdr:sp>
        <xdr:sp macro="" textlink="">
          <xdr:nvSpPr>
            <xdr:cNvPr id="3837" name="Line 8974">
              <a:extLst>
                <a:ext uri="{FF2B5EF4-FFF2-40B4-BE49-F238E27FC236}">
                  <a16:creationId xmlns:a16="http://schemas.microsoft.com/office/drawing/2014/main" id="{00000000-0008-0000-0000-0000FD0E0000}"/>
                </a:ext>
              </a:extLst>
            </xdr:cNvPr>
            <xdr:cNvSpPr>
              <a:spLocks noChangeShapeType="1"/>
            </xdr:cNvSpPr>
          </xdr:nvSpPr>
          <xdr:spPr bwMode="auto">
            <a:xfrm rot="16200000" flipH="1">
              <a:off x="1587774" y="32089621"/>
              <a:ext cx="176630" cy="0"/>
            </a:xfrm>
            <a:prstGeom prst="line">
              <a:avLst/>
            </a:prstGeom>
            <a:noFill/>
            <a:ln w="9525">
              <a:solidFill>
                <a:srgbClr val="000000"/>
              </a:solidFill>
              <a:round/>
              <a:headEnd/>
              <a:tailEnd type="arrow" w="med" len="med"/>
            </a:ln>
          </xdr:spPr>
        </xdr:sp>
        <xdr:sp macro="" textlink="">
          <xdr:nvSpPr>
            <xdr:cNvPr id="3838" name="Line 8975">
              <a:extLst>
                <a:ext uri="{FF2B5EF4-FFF2-40B4-BE49-F238E27FC236}">
                  <a16:creationId xmlns:a16="http://schemas.microsoft.com/office/drawing/2014/main" id="{00000000-0008-0000-0000-0000FE0E0000}"/>
                </a:ext>
              </a:extLst>
            </xdr:cNvPr>
            <xdr:cNvSpPr>
              <a:spLocks noChangeShapeType="1"/>
            </xdr:cNvSpPr>
          </xdr:nvSpPr>
          <xdr:spPr bwMode="auto">
            <a:xfrm rot="16200000" flipH="1">
              <a:off x="1668129" y="32086158"/>
              <a:ext cx="176630" cy="0"/>
            </a:xfrm>
            <a:prstGeom prst="line">
              <a:avLst/>
            </a:prstGeom>
            <a:noFill/>
            <a:ln w="9525">
              <a:solidFill>
                <a:srgbClr val="000000"/>
              </a:solidFill>
              <a:round/>
              <a:headEnd/>
              <a:tailEnd type="arrow" w="med" len="med"/>
            </a:ln>
          </xdr:spPr>
        </xdr:sp>
        <xdr:sp macro="" textlink="">
          <xdr:nvSpPr>
            <xdr:cNvPr id="3839" name="Line 8976">
              <a:extLst>
                <a:ext uri="{FF2B5EF4-FFF2-40B4-BE49-F238E27FC236}">
                  <a16:creationId xmlns:a16="http://schemas.microsoft.com/office/drawing/2014/main" id="{00000000-0008-0000-0000-0000FF0E0000}"/>
                </a:ext>
              </a:extLst>
            </xdr:cNvPr>
            <xdr:cNvSpPr>
              <a:spLocks noChangeShapeType="1"/>
            </xdr:cNvSpPr>
          </xdr:nvSpPr>
          <xdr:spPr bwMode="auto">
            <a:xfrm rot="16200000" flipH="1">
              <a:off x="1743461" y="32086158"/>
              <a:ext cx="176630" cy="0"/>
            </a:xfrm>
            <a:prstGeom prst="line">
              <a:avLst/>
            </a:prstGeom>
            <a:noFill/>
            <a:ln w="9525">
              <a:solidFill>
                <a:srgbClr val="000000"/>
              </a:solidFill>
              <a:round/>
              <a:headEnd/>
              <a:tailEnd type="arrow" w="med" len="med"/>
            </a:ln>
          </xdr:spPr>
        </xdr:sp>
        <xdr:sp macro="" textlink="">
          <xdr:nvSpPr>
            <xdr:cNvPr id="3840" name="Line 8977">
              <a:extLst>
                <a:ext uri="{FF2B5EF4-FFF2-40B4-BE49-F238E27FC236}">
                  <a16:creationId xmlns:a16="http://schemas.microsoft.com/office/drawing/2014/main" id="{00000000-0008-0000-0000-0000000F0000}"/>
                </a:ext>
              </a:extLst>
            </xdr:cNvPr>
            <xdr:cNvSpPr>
              <a:spLocks noChangeShapeType="1"/>
            </xdr:cNvSpPr>
          </xdr:nvSpPr>
          <xdr:spPr bwMode="auto">
            <a:xfrm rot="16200000" flipH="1">
              <a:off x="1823816" y="32086158"/>
              <a:ext cx="176630" cy="0"/>
            </a:xfrm>
            <a:prstGeom prst="line">
              <a:avLst/>
            </a:prstGeom>
            <a:noFill/>
            <a:ln w="9525">
              <a:solidFill>
                <a:srgbClr val="000000"/>
              </a:solidFill>
              <a:round/>
              <a:headEnd/>
              <a:tailEnd type="arrow" w="med" len="med"/>
            </a:ln>
          </xdr:spPr>
        </xdr:sp>
        <xdr:sp macro="" textlink="">
          <xdr:nvSpPr>
            <xdr:cNvPr id="3841" name="Line 8978">
              <a:extLst>
                <a:ext uri="{FF2B5EF4-FFF2-40B4-BE49-F238E27FC236}">
                  <a16:creationId xmlns:a16="http://schemas.microsoft.com/office/drawing/2014/main" id="{00000000-0008-0000-0000-0000010F0000}"/>
                </a:ext>
              </a:extLst>
            </xdr:cNvPr>
            <xdr:cNvSpPr>
              <a:spLocks noChangeShapeType="1"/>
            </xdr:cNvSpPr>
          </xdr:nvSpPr>
          <xdr:spPr bwMode="auto">
            <a:xfrm rot="16200000" flipH="1">
              <a:off x="1904170" y="32086158"/>
              <a:ext cx="176630" cy="0"/>
            </a:xfrm>
            <a:prstGeom prst="line">
              <a:avLst/>
            </a:prstGeom>
            <a:noFill/>
            <a:ln w="9525">
              <a:solidFill>
                <a:srgbClr val="000000"/>
              </a:solidFill>
              <a:round/>
              <a:headEnd/>
              <a:tailEnd type="arrow" w="med" len="med"/>
            </a:ln>
          </xdr:spPr>
        </xdr:sp>
        <xdr:sp macro="" textlink="">
          <xdr:nvSpPr>
            <xdr:cNvPr id="3842" name="Line 8979">
              <a:extLst>
                <a:ext uri="{FF2B5EF4-FFF2-40B4-BE49-F238E27FC236}">
                  <a16:creationId xmlns:a16="http://schemas.microsoft.com/office/drawing/2014/main" id="{00000000-0008-0000-0000-0000020F0000}"/>
                </a:ext>
              </a:extLst>
            </xdr:cNvPr>
            <xdr:cNvSpPr>
              <a:spLocks noChangeShapeType="1"/>
            </xdr:cNvSpPr>
          </xdr:nvSpPr>
          <xdr:spPr bwMode="auto">
            <a:xfrm rot="16200000" flipH="1">
              <a:off x="1976886" y="32086158"/>
              <a:ext cx="176630" cy="0"/>
            </a:xfrm>
            <a:prstGeom prst="line">
              <a:avLst/>
            </a:prstGeom>
            <a:noFill/>
            <a:ln w="9525">
              <a:solidFill>
                <a:srgbClr val="000000"/>
              </a:solidFill>
              <a:round/>
              <a:headEnd/>
              <a:tailEnd type="arrow" w="med" len="med"/>
            </a:ln>
          </xdr:spPr>
        </xdr:sp>
        <xdr:sp macro="" textlink="">
          <xdr:nvSpPr>
            <xdr:cNvPr id="3843" name="Line 8980">
              <a:extLst>
                <a:ext uri="{FF2B5EF4-FFF2-40B4-BE49-F238E27FC236}">
                  <a16:creationId xmlns:a16="http://schemas.microsoft.com/office/drawing/2014/main" id="{00000000-0008-0000-0000-0000030F0000}"/>
                </a:ext>
              </a:extLst>
            </xdr:cNvPr>
            <xdr:cNvSpPr>
              <a:spLocks noChangeShapeType="1"/>
            </xdr:cNvSpPr>
          </xdr:nvSpPr>
          <xdr:spPr bwMode="auto">
            <a:xfrm rot="16200000" flipH="1">
              <a:off x="2057241" y="32086158"/>
              <a:ext cx="176630" cy="0"/>
            </a:xfrm>
            <a:prstGeom prst="line">
              <a:avLst/>
            </a:prstGeom>
            <a:noFill/>
            <a:ln w="9525">
              <a:solidFill>
                <a:srgbClr val="000000"/>
              </a:solidFill>
              <a:round/>
              <a:headEnd/>
              <a:tailEnd type="arrow" w="med" len="med"/>
            </a:ln>
          </xdr:spPr>
        </xdr:sp>
        <xdr:sp macro="" textlink="">
          <xdr:nvSpPr>
            <xdr:cNvPr id="3844" name="Line 8981">
              <a:extLst>
                <a:ext uri="{FF2B5EF4-FFF2-40B4-BE49-F238E27FC236}">
                  <a16:creationId xmlns:a16="http://schemas.microsoft.com/office/drawing/2014/main" id="{00000000-0008-0000-0000-0000040F0000}"/>
                </a:ext>
              </a:extLst>
            </xdr:cNvPr>
            <xdr:cNvSpPr>
              <a:spLocks noChangeShapeType="1"/>
            </xdr:cNvSpPr>
          </xdr:nvSpPr>
          <xdr:spPr bwMode="auto">
            <a:xfrm rot="16200000" flipH="1">
              <a:off x="2137595" y="32086158"/>
              <a:ext cx="176630" cy="0"/>
            </a:xfrm>
            <a:prstGeom prst="line">
              <a:avLst/>
            </a:prstGeom>
            <a:noFill/>
            <a:ln w="9525">
              <a:solidFill>
                <a:srgbClr val="000000"/>
              </a:solidFill>
              <a:round/>
              <a:headEnd/>
              <a:tailEnd type="arrow" w="med" len="med"/>
            </a:ln>
          </xdr:spPr>
        </xdr:sp>
        <xdr:sp macro="" textlink="">
          <xdr:nvSpPr>
            <xdr:cNvPr id="3845" name="Line 8982">
              <a:extLst>
                <a:ext uri="{FF2B5EF4-FFF2-40B4-BE49-F238E27FC236}">
                  <a16:creationId xmlns:a16="http://schemas.microsoft.com/office/drawing/2014/main" id="{00000000-0008-0000-0000-0000050F0000}"/>
                </a:ext>
              </a:extLst>
            </xdr:cNvPr>
            <xdr:cNvSpPr>
              <a:spLocks noChangeShapeType="1"/>
            </xdr:cNvSpPr>
          </xdr:nvSpPr>
          <xdr:spPr bwMode="auto">
            <a:xfrm rot="16200000" flipH="1">
              <a:off x="2212928" y="32082695"/>
              <a:ext cx="176630" cy="0"/>
            </a:xfrm>
            <a:prstGeom prst="line">
              <a:avLst/>
            </a:prstGeom>
            <a:noFill/>
            <a:ln w="9525">
              <a:solidFill>
                <a:srgbClr val="000000"/>
              </a:solidFill>
              <a:round/>
              <a:headEnd/>
              <a:tailEnd type="arrow" w="med" len="med"/>
            </a:ln>
          </xdr:spPr>
        </xdr:sp>
        <xdr:sp macro="" textlink="">
          <xdr:nvSpPr>
            <xdr:cNvPr id="3846" name="Line 8983">
              <a:extLst>
                <a:ext uri="{FF2B5EF4-FFF2-40B4-BE49-F238E27FC236}">
                  <a16:creationId xmlns:a16="http://schemas.microsoft.com/office/drawing/2014/main" id="{00000000-0008-0000-0000-0000060F0000}"/>
                </a:ext>
              </a:extLst>
            </xdr:cNvPr>
            <xdr:cNvSpPr>
              <a:spLocks noChangeShapeType="1"/>
            </xdr:cNvSpPr>
          </xdr:nvSpPr>
          <xdr:spPr bwMode="auto">
            <a:xfrm rot="16200000" flipH="1">
              <a:off x="2293282" y="32086158"/>
              <a:ext cx="176630" cy="0"/>
            </a:xfrm>
            <a:prstGeom prst="line">
              <a:avLst/>
            </a:prstGeom>
            <a:noFill/>
            <a:ln w="9525">
              <a:solidFill>
                <a:srgbClr val="000000"/>
              </a:solidFill>
              <a:round/>
              <a:headEnd/>
              <a:tailEnd type="arrow" w="med" len="med"/>
            </a:ln>
          </xdr:spPr>
        </xdr:sp>
        <xdr:sp macro="" textlink="">
          <xdr:nvSpPr>
            <xdr:cNvPr id="3847" name="Line 8984">
              <a:extLst>
                <a:ext uri="{FF2B5EF4-FFF2-40B4-BE49-F238E27FC236}">
                  <a16:creationId xmlns:a16="http://schemas.microsoft.com/office/drawing/2014/main" id="{00000000-0008-0000-0000-0000070F0000}"/>
                </a:ext>
              </a:extLst>
            </xdr:cNvPr>
            <xdr:cNvSpPr>
              <a:spLocks noChangeShapeType="1"/>
            </xdr:cNvSpPr>
          </xdr:nvSpPr>
          <xdr:spPr bwMode="auto">
            <a:xfrm rot="16200000" flipH="1">
              <a:off x="2378659" y="32086158"/>
              <a:ext cx="176630" cy="0"/>
            </a:xfrm>
            <a:prstGeom prst="line">
              <a:avLst/>
            </a:prstGeom>
            <a:noFill/>
            <a:ln w="9525">
              <a:solidFill>
                <a:srgbClr val="000000"/>
              </a:solidFill>
              <a:round/>
              <a:headEnd/>
              <a:tailEnd type="arrow" w="med" len="med"/>
            </a:ln>
          </xdr:spPr>
        </xdr:sp>
        <xdr:sp macro="" textlink="">
          <xdr:nvSpPr>
            <xdr:cNvPr id="3848" name="Line 356">
              <a:extLst>
                <a:ext uri="{FF2B5EF4-FFF2-40B4-BE49-F238E27FC236}">
                  <a16:creationId xmlns:a16="http://schemas.microsoft.com/office/drawing/2014/main" id="{00000000-0008-0000-0000-0000080F0000}"/>
                </a:ext>
              </a:extLst>
            </xdr:cNvPr>
            <xdr:cNvSpPr>
              <a:spLocks noChangeShapeType="1"/>
            </xdr:cNvSpPr>
          </xdr:nvSpPr>
          <xdr:spPr bwMode="auto">
            <a:xfrm flipH="1">
              <a:off x="126508" y="32782325"/>
              <a:ext cx="1440020" cy="0"/>
            </a:xfrm>
            <a:prstGeom prst="line">
              <a:avLst/>
            </a:prstGeom>
            <a:noFill/>
            <a:ln w="9525">
              <a:solidFill>
                <a:srgbClr val="000000"/>
              </a:solidFill>
              <a:round/>
              <a:headEnd/>
              <a:tailEnd/>
            </a:ln>
          </xdr:spPr>
        </xdr:sp>
        <xdr:sp macro="" textlink="">
          <xdr:nvSpPr>
            <xdr:cNvPr id="1124" name="Text Box 8517">
              <a:extLst>
                <a:ext uri="{FF2B5EF4-FFF2-40B4-BE49-F238E27FC236}">
                  <a16:creationId xmlns:a16="http://schemas.microsoft.com/office/drawing/2014/main" id="{00000000-0008-0000-0000-000064040000}"/>
                </a:ext>
              </a:extLst>
            </xdr:cNvPr>
            <xdr:cNvSpPr txBox="1">
              <a:spLocks noChangeArrowheads="1"/>
            </xdr:cNvSpPr>
          </xdr:nvSpPr>
          <xdr:spPr bwMode="auto">
            <a:xfrm>
              <a:off x="1548434" y="31838373"/>
              <a:ext cx="1018229" cy="236941"/>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Live Load Surcharge </a:t>
              </a:r>
            </a:p>
          </xdr:txBody>
        </xdr:sp>
      </xdr:grpSp>
      <xdr:grpSp>
        <xdr:nvGrpSpPr>
          <xdr:cNvPr id="3701" name="Group 1193">
            <a:extLst>
              <a:ext uri="{FF2B5EF4-FFF2-40B4-BE49-F238E27FC236}">
                <a16:creationId xmlns:a16="http://schemas.microsoft.com/office/drawing/2014/main" id="{00000000-0008-0000-0000-0000750E0000}"/>
              </a:ext>
            </a:extLst>
          </xdr:cNvPr>
          <xdr:cNvGrpSpPr>
            <a:grpSpLocks/>
          </xdr:cNvGrpSpPr>
        </xdr:nvGrpSpPr>
        <xdr:grpSpPr bwMode="auto">
          <a:xfrm>
            <a:off x="856205" y="32322602"/>
            <a:ext cx="470442" cy="575724"/>
            <a:chOff x="866775" y="32327850"/>
            <a:chExt cx="476250" cy="581025"/>
          </a:xfrm>
        </xdr:grpSpPr>
        <xdr:sp macro="" textlink="">
          <xdr:nvSpPr>
            <xdr:cNvPr id="1127" name="Right Brace 1126">
              <a:extLst>
                <a:ext uri="{FF2B5EF4-FFF2-40B4-BE49-F238E27FC236}">
                  <a16:creationId xmlns:a16="http://schemas.microsoft.com/office/drawing/2014/main" id="{00000000-0008-0000-0000-000067040000}"/>
                </a:ext>
              </a:extLst>
            </xdr:cNvPr>
            <xdr:cNvSpPr/>
          </xdr:nvSpPr>
          <xdr:spPr>
            <a:xfrm rot="5400000">
              <a:off x="956649" y="32234179"/>
              <a:ext cx="232583" cy="413055"/>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a:off x="914443" y="32537616"/>
              <a:ext cx="432266" cy="368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Σ</a:t>
              </a:r>
              <a:r>
                <a:rPr lang="en-US" sz="1100"/>
                <a:t> V</a:t>
              </a:r>
              <a:endParaRPr lang="en-IN" sz="1100"/>
            </a:p>
          </xdr:txBody>
        </xdr:sp>
      </xdr:grpSp>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a:off x="1036135" y="33375478"/>
            <a:ext cx="2021111" cy="288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Σ</a:t>
            </a:r>
            <a:r>
              <a:rPr lang="en-US" sz="1100"/>
              <a:t> H = P (Surcharge)</a:t>
            </a:r>
            <a:r>
              <a:rPr lang="en-US" sz="1100" baseline="0"/>
              <a:t> + P (Soil)</a:t>
            </a:r>
            <a:endParaRPr lang="en-IN" sz="1100"/>
          </a:p>
        </xdr:txBody>
      </xdr:sp>
      <xdr:grpSp>
        <xdr:nvGrpSpPr>
          <xdr:cNvPr id="3703" name="Group 1199">
            <a:extLst>
              <a:ext uri="{FF2B5EF4-FFF2-40B4-BE49-F238E27FC236}">
                <a16:creationId xmlns:a16="http://schemas.microsoft.com/office/drawing/2014/main" id="{00000000-0008-0000-0000-0000770E0000}"/>
              </a:ext>
            </a:extLst>
          </xdr:cNvPr>
          <xdr:cNvGrpSpPr>
            <a:grpSpLocks/>
          </xdr:cNvGrpSpPr>
        </xdr:nvGrpSpPr>
        <xdr:grpSpPr bwMode="auto">
          <a:xfrm>
            <a:off x="1696242" y="32243429"/>
            <a:ext cx="318359" cy="1009123"/>
            <a:chOff x="1717183" y="32247948"/>
            <a:chExt cx="322289" cy="1018415"/>
          </a:xfrm>
        </xdr:grpSpPr>
        <xdr:sp macro="" textlink="">
          <xdr:nvSpPr>
            <xdr:cNvPr id="3797" name="Line 8973">
              <a:extLst>
                <a:ext uri="{FF2B5EF4-FFF2-40B4-BE49-F238E27FC236}">
                  <a16:creationId xmlns:a16="http://schemas.microsoft.com/office/drawing/2014/main" id="{00000000-0008-0000-0000-0000D50E0000}"/>
                </a:ext>
              </a:extLst>
            </xdr:cNvPr>
            <xdr:cNvSpPr>
              <a:spLocks noChangeShapeType="1"/>
            </xdr:cNvSpPr>
          </xdr:nvSpPr>
          <xdr:spPr bwMode="auto">
            <a:xfrm flipH="1">
              <a:off x="1717183" y="32247948"/>
              <a:ext cx="310128" cy="0"/>
            </a:xfrm>
            <a:prstGeom prst="line">
              <a:avLst/>
            </a:prstGeom>
            <a:noFill/>
            <a:ln w="9525">
              <a:solidFill>
                <a:srgbClr val="000000"/>
              </a:solidFill>
              <a:round/>
              <a:headEnd/>
              <a:tailEnd type="arrow" w="med" len="med"/>
            </a:ln>
          </xdr:spPr>
        </xdr:sp>
        <xdr:sp macro="" textlink="">
          <xdr:nvSpPr>
            <xdr:cNvPr id="3798" name="Line 8975">
              <a:extLst>
                <a:ext uri="{FF2B5EF4-FFF2-40B4-BE49-F238E27FC236}">
                  <a16:creationId xmlns:a16="http://schemas.microsoft.com/office/drawing/2014/main" id="{00000000-0008-0000-0000-0000D60E0000}"/>
                </a:ext>
              </a:extLst>
            </xdr:cNvPr>
            <xdr:cNvSpPr>
              <a:spLocks noChangeShapeType="1"/>
            </xdr:cNvSpPr>
          </xdr:nvSpPr>
          <xdr:spPr bwMode="auto">
            <a:xfrm flipH="1">
              <a:off x="1723263" y="32342401"/>
              <a:ext cx="310128" cy="0"/>
            </a:xfrm>
            <a:prstGeom prst="line">
              <a:avLst/>
            </a:prstGeom>
            <a:noFill/>
            <a:ln w="9525">
              <a:solidFill>
                <a:srgbClr val="000000"/>
              </a:solidFill>
              <a:round/>
              <a:headEnd/>
              <a:tailEnd type="arrow" w="med" len="med"/>
            </a:ln>
          </xdr:spPr>
        </xdr:sp>
        <xdr:sp macro="" textlink="">
          <xdr:nvSpPr>
            <xdr:cNvPr id="3799" name="Line 8977">
              <a:extLst>
                <a:ext uri="{FF2B5EF4-FFF2-40B4-BE49-F238E27FC236}">
                  <a16:creationId xmlns:a16="http://schemas.microsoft.com/office/drawing/2014/main" id="{00000000-0008-0000-0000-0000D70E0000}"/>
                </a:ext>
              </a:extLst>
            </xdr:cNvPr>
            <xdr:cNvSpPr>
              <a:spLocks noChangeShapeType="1"/>
            </xdr:cNvSpPr>
          </xdr:nvSpPr>
          <xdr:spPr bwMode="auto">
            <a:xfrm flipH="1">
              <a:off x="1723263" y="32436854"/>
              <a:ext cx="310128" cy="0"/>
            </a:xfrm>
            <a:prstGeom prst="line">
              <a:avLst/>
            </a:prstGeom>
            <a:noFill/>
            <a:ln w="9525">
              <a:solidFill>
                <a:srgbClr val="000000"/>
              </a:solidFill>
              <a:round/>
              <a:headEnd/>
              <a:tailEnd type="arrow" w="med" len="med"/>
            </a:ln>
          </xdr:spPr>
        </xdr:sp>
        <xdr:sp macro="" textlink="">
          <xdr:nvSpPr>
            <xdr:cNvPr id="3800" name="Line 8978">
              <a:extLst>
                <a:ext uri="{FF2B5EF4-FFF2-40B4-BE49-F238E27FC236}">
                  <a16:creationId xmlns:a16="http://schemas.microsoft.com/office/drawing/2014/main" id="{00000000-0008-0000-0000-0000D80E0000}"/>
                </a:ext>
              </a:extLst>
            </xdr:cNvPr>
            <xdr:cNvSpPr>
              <a:spLocks noChangeShapeType="1"/>
            </xdr:cNvSpPr>
          </xdr:nvSpPr>
          <xdr:spPr bwMode="auto">
            <a:xfrm flipH="1">
              <a:off x="1723263" y="32523703"/>
              <a:ext cx="310128" cy="0"/>
            </a:xfrm>
            <a:prstGeom prst="line">
              <a:avLst/>
            </a:prstGeom>
            <a:noFill/>
            <a:ln w="9525">
              <a:solidFill>
                <a:srgbClr val="000000"/>
              </a:solidFill>
              <a:round/>
              <a:headEnd/>
              <a:tailEnd type="arrow" w="med" len="med"/>
            </a:ln>
          </xdr:spPr>
        </xdr:sp>
        <xdr:sp macro="" textlink="">
          <xdr:nvSpPr>
            <xdr:cNvPr id="3801" name="Line 8980">
              <a:extLst>
                <a:ext uri="{FF2B5EF4-FFF2-40B4-BE49-F238E27FC236}">
                  <a16:creationId xmlns:a16="http://schemas.microsoft.com/office/drawing/2014/main" id="{00000000-0008-0000-0000-0000D90E0000}"/>
                </a:ext>
              </a:extLst>
            </xdr:cNvPr>
            <xdr:cNvSpPr>
              <a:spLocks noChangeShapeType="1"/>
            </xdr:cNvSpPr>
          </xdr:nvSpPr>
          <xdr:spPr bwMode="auto">
            <a:xfrm flipH="1">
              <a:off x="1723263" y="32609138"/>
              <a:ext cx="310128" cy="0"/>
            </a:xfrm>
            <a:prstGeom prst="line">
              <a:avLst/>
            </a:prstGeom>
            <a:noFill/>
            <a:ln w="9525">
              <a:solidFill>
                <a:srgbClr val="000000"/>
              </a:solidFill>
              <a:round/>
              <a:headEnd/>
              <a:tailEnd type="arrow" w="med" len="med"/>
            </a:ln>
          </xdr:spPr>
        </xdr:sp>
        <xdr:sp macro="" textlink="">
          <xdr:nvSpPr>
            <xdr:cNvPr id="3802" name="Line 8982">
              <a:extLst>
                <a:ext uri="{FF2B5EF4-FFF2-40B4-BE49-F238E27FC236}">
                  <a16:creationId xmlns:a16="http://schemas.microsoft.com/office/drawing/2014/main" id="{00000000-0008-0000-0000-0000DA0E0000}"/>
                </a:ext>
              </a:extLst>
            </xdr:cNvPr>
            <xdr:cNvSpPr>
              <a:spLocks noChangeShapeType="1"/>
            </xdr:cNvSpPr>
          </xdr:nvSpPr>
          <xdr:spPr bwMode="auto">
            <a:xfrm flipH="1">
              <a:off x="1729344" y="32703591"/>
              <a:ext cx="310128" cy="0"/>
            </a:xfrm>
            <a:prstGeom prst="line">
              <a:avLst/>
            </a:prstGeom>
            <a:noFill/>
            <a:ln w="9525">
              <a:solidFill>
                <a:srgbClr val="000000"/>
              </a:solidFill>
              <a:round/>
              <a:headEnd/>
              <a:tailEnd type="arrow" w="med" len="med"/>
            </a:ln>
          </xdr:spPr>
        </xdr:sp>
        <xdr:sp macro="" textlink="">
          <xdr:nvSpPr>
            <xdr:cNvPr id="3803" name="Line 8984">
              <a:extLst>
                <a:ext uri="{FF2B5EF4-FFF2-40B4-BE49-F238E27FC236}">
                  <a16:creationId xmlns:a16="http://schemas.microsoft.com/office/drawing/2014/main" id="{00000000-0008-0000-0000-0000DB0E0000}"/>
                </a:ext>
              </a:extLst>
            </xdr:cNvPr>
            <xdr:cNvSpPr>
              <a:spLocks noChangeShapeType="1"/>
            </xdr:cNvSpPr>
          </xdr:nvSpPr>
          <xdr:spPr bwMode="auto">
            <a:xfrm flipH="1">
              <a:off x="1723263" y="32804137"/>
              <a:ext cx="310128" cy="0"/>
            </a:xfrm>
            <a:prstGeom prst="line">
              <a:avLst/>
            </a:prstGeom>
            <a:noFill/>
            <a:ln w="9525">
              <a:solidFill>
                <a:srgbClr val="000000"/>
              </a:solidFill>
              <a:round/>
              <a:headEnd/>
              <a:tailEnd type="arrow" w="med" len="med"/>
            </a:ln>
          </xdr:spPr>
        </xdr:sp>
        <xdr:sp macro="" textlink="">
          <xdr:nvSpPr>
            <xdr:cNvPr id="3804" name="Line 8973">
              <a:extLst>
                <a:ext uri="{FF2B5EF4-FFF2-40B4-BE49-F238E27FC236}">
                  <a16:creationId xmlns:a16="http://schemas.microsoft.com/office/drawing/2014/main" id="{00000000-0008-0000-0000-0000DC0E0000}"/>
                </a:ext>
              </a:extLst>
            </xdr:cNvPr>
            <xdr:cNvSpPr>
              <a:spLocks noChangeShapeType="1"/>
            </xdr:cNvSpPr>
          </xdr:nvSpPr>
          <xdr:spPr bwMode="auto">
            <a:xfrm flipH="1">
              <a:off x="1717183" y="32905173"/>
              <a:ext cx="310128" cy="0"/>
            </a:xfrm>
            <a:prstGeom prst="line">
              <a:avLst/>
            </a:prstGeom>
            <a:noFill/>
            <a:ln w="9525">
              <a:solidFill>
                <a:srgbClr val="000000"/>
              </a:solidFill>
              <a:round/>
              <a:headEnd/>
              <a:tailEnd type="arrow" w="med" len="med"/>
            </a:ln>
          </xdr:spPr>
        </xdr:sp>
        <xdr:sp macro="" textlink="">
          <xdr:nvSpPr>
            <xdr:cNvPr id="3805" name="Line 8975">
              <a:extLst>
                <a:ext uri="{FF2B5EF4-FFF2-40B4-BE49-F238E27FC236}">
                  <a16:creationId xmlns:a16="http://schemas.microsoft.com/office/drawing/2014/main" id="{00000000-0008-0000-0000-0000DD0E0000}"/>
                </a:ext>
              </a:extLst>
            </xdr:cNvPr>
            <xdr:cNvSpPr>
              <a:spLocks noChangeShapeType="1"/>
            </xdr:cNvSpPr>
          </xdr:nvSpPr>
          <xdr:spPr bwMode="auto">
            <a:xfrm flipH="1">
              <a:off x="1723263" y="32999626"/>
              <a:ext cx="310128" cy="0"/>
            </a:xfrm>
            <a:prstGeom prst="line">
              <a:avLst/>
            </a:prstGeom>
            <a:noFill/>
            <a:ln w="9525">
              <a:solidFill>
                <a:srgbClr val="000000"/>
              </a:solidFill>
              <a:round/>
              <a:headEnd/>
              <a:tailEnd type="arrow" w="med" len="med"/>
            </a:ln>
          </xdr:spPr>
        </xdr:sp>
        <xdr:sp macro="" textlink="">
          <xdr:nvSpPr>
            <xdr:cNvPr id="3806" name="Line 8977">
              <a:extLst>
                <a:ext uri="{FF2B5EF4-FFF2-40B4-BE49-F238E27FC236}">
                  <a16:creationId xmlns:a16="http://schemas.microsoft.com/office/drawing/2014/main" id="{00000000-0008-0000-0000-0000DE0E0000}"/>
                </a:ext>
              </a:extLst>
            </xdr:cNvPr>
            <xdr:cNvSpPr>
              <a:spLocks noChangeShapeType="1"/>
            </xdr:cNvSpPr>
          </xdr:nvSpPr>
          <xdr:spPr bwMode="auto">
            <a:xfrm flipH="1">
              <a:off x="1723263" y="33094079"/>
              <a:ext cx="310128" cy="0"/>
            </a:xfrm>
            <a:prstGeom prst="line">
              <a:avLst/>
            </a:prstGeom>
            <a:noFill/>
            <a:ln w="9525">
              <a:solidFill>
                <a:srgbClr val="000000"/>
              </a:solidFill>
              <a:round/>
              <a:headEnd/>
              <a:tailEnd type="arrow" w="med" len="med"/>
            </a:ln>
          </xdr:spPr>
        </xdr:sp>
        <xdr:sp macro="" textlink="">
          <xdr:nvSpPr>
            <xdr:cNvPr id="3807" name="Line 8978">
              <a:extLst>
                <a:ext uri="{FF2B5EF4-FFF2-40B4-BE49-F238E27FC236}">
                  <a16:creationId xmlns:a16="http://schemas.microsoft.com/office/drawing/2014/main" id="{00000000-0008-0000-0000-0000DF0E0000}"/>
                </a:ext>
              </a:extLst>
            </xdr:cNvPr>
            <xdr:cNvSpPr>
              <a:spLocks noChangeShapeType="1"/>
            </xdr:cNvSpPr>
          </xdr:nvSpPr>
          <xdr:spPr bwMode="auto">
            <a:xfrm flipH="1">
              <a:off x="1723263" y="33180928"/>
              <a:ext cx="310128" cy="0"/>
            </a:xfrm>
            <a:prstGeom prst="line">
              <a:avLst/>
            </a:prstGeom>
            <a:noFill/>
            <a:ln w="9525">
              <a:solidFill>
                <a:srgbClr val="000000"/>
              </a:solidFill>
              <a:round/>
              <a:headEnd/>
              <a:tailEnd type="arrow" w="med" len="med"/>
            </a:ln>
          </xdr:spPr>
        </xdr:sp>
        <xdr:sp macro="" textlink="">
          <xdr:nvSpPr>
            <xdr:cNvPr id="3808" name="Line 8980">
              <a:extLst>
                <a:ext uri="{FF2B5EF4-FFF2-40B4-BE49-F238E27FC236}">
                  <a16:creationId xmlns:a16="http://schemas.microsoft.com/office/drawing/2014/main" id="{00000000-0008-0000-0000-0000E00E0000}"/>
                </a:ext>
              </a:extLst>
            </xdr:cNvPr>
            <xdr:cNvSpPr>
              <a:spLocks noChangeShapeType="1"/>
            </xdr:cNvSpPr>
          </xdr:nvSpPr>
          <xdr:spPr bwMode="auto">
            <a:xfrm flipH="1">
              <a:off x="1723263" y="33266363"/>
              <a:ext cx="310128" cy="0"/>
            </a:xfrm>
            <a:prstGeom prst="line">
              <a:avLst/>
            </a:prstGeom>
            <a:noFill/>
            <a:ln w="9525">
              <a:solidFill>
                <a:srgbClr val="000000"/>
              </a:solidFill>
              <a:round/>
              <a:headEnd/>
              <a:tailEnd type="arrow" w="med" len="med"/>
            </a:ln>
          </xdr:spPr>
        </xdr:sp>
      </xdr:grpSp>
      <xdr:grpSp>
        <xdr:nvGrpSpPr>
          <xdr:cNvPr id="3704" name="Group 1200">
            <a:extLst>
              <a:ext uri="{FF2B5EF4-FFF2-40B4-BE49-F238E27FC236}">
                <a16:creationId xmlns:a16="http://schemas.microsoft.com/office/drawing/2014/main" id="{00000000-0008-0000-0000-0000780E0000}"/>
              </a:ext>
            </a:extLst>
          </xdr:cNvPr>
          <xdr:cNvGrpSpPr>
            <a:grpSpLocks/>
          </xdr:cNvGrpSpPr>
        </xdr:nvGrpSpPr>
        <xdr:grpSpPr bwMode="auto">
          <a:xfrm>
            <a:off x="2147867" y="32281181"/>
            <a:ext cx="632810" cy="919596"/>
            <a:chOff x="2174383" y="32286048"/>
            <a:chExt cx="640623" cy="928064"/>
          </a:xfrm>
        </xdr:grpSpPr>
        <xdr:sp macro="" textlink="">
          <xdr:nvSpPr>
            <xdr:cNvPr id="3790" name="Line 8987">
              <a:extLst>
                <a:ext uri="{FF2B5EF4-FFF2-40B4-BE49-F238E27FC236}">
                  <a16:creationId xmlns:a16="http://schemas.microsoft.com/office/drawing/2014/main" id="{00000000-0008-0000-0000-0000CE0E0000}"/>
                </a:ext>
              </a:extLst>
            </xdr:cNvPr>
            <xdr:cNvSpPr>
              <a:spLocks noChangeShapeType="1"/>
            </xdr:cNvSpPr>
          </xdr:nvSpPr>
          <xdr:spPr bwMode="auto">
            <a:xfrm flipH="1">
              <a:off x="2174383" y="32286048"/>
              <a:ext cx="134858" cy="0"/>
            </a:xfrm>
            <a:prstGeom prst="line">
              <a:avLst/>
            </a:prstGeom>
            <a:noFill/>
            <a:ln w="9525">
              <a:solidFill>
                <a:srgbClr val="000000"/>
              </a:solidFill>
              <a:round/>
              <a:headEnd/>
              <a:tailEnd type="arrow" w="med" len="med"/>
            </a:ln>
          </xdr:spPr>
        </xdr:sp>
        <xdr:sp macro="" textlink="">
          <xdr:nvSpPr>
            <xdr:cNvPr id="3791" name="Line 8988">
              <a:extLst>
                <a:ext uri="{FF2B5EF4-FFF2-40B4-BE49-F238E27FC236}">
                  <a16:creationId xmlns:a16="http://schemas.microsoft.com/office/drawing/2014/main" id="{00000000-0008-0000-0000-0000CF0E0000}"/>
                </a:ext>
              </a:extLst>
            </xdr:cNvPr>
            <xdr:cNvSpPr>
              <a:spLocks noChangeShapeType="1"/>
            </xdr:cNvSpPr>
          </xdr:nvSpPr>
          <xdr:spPr bwMode="auto">
            <a:xfrm flipH="1">
              <a:off x="2179570" y="32403657"/>
              <a:ext cx="176353" cy="0"/>
            </a:xfrm>
            <a:prstGeom prst="line">
              <a:avLst/>
            </a:prstGeom>
            <a:noFill/>
            <a:ln w="9525">
              <a:solidFill>
                <a:srgbClr val="000000"/>
              </a:solidFill>
              <a:round/>
              <a:headEnd/>
              <a:tailEnd type="arrow" w="med" len="med"/>
            </a:ln>
          </xdr:spPr>
        </xdr:sp>
        <xdr:sp macro="" textlink="">
          <xdr:nvSpPr>
            <xdr:cNvPr id="3792" name="Line 8990">
              <a:extLst>
                <a:ext uri="{FF2B5EF4-FFF2-40B4-BE49-F238E27FC236}">
                  <a16:creationId xmlns:a16="http://schemas.microsoft.com/office/drawing/2014/main" id="{00000000-0008-0000-0000-0000D00E0000}"/>
                </a:ext>
              </a:extLst>
            </xdr:cNvPr>
            <xdr:cNvSpPr>
              <a:spLocks noChangeShapeType="1"/>
            </xdr:cNvSpPr>
          </xdr:nvSpPr>
          <xdr:spPr bwMode="auto">
            <a:xfrm flipH="1">
              <a:off x="2179570" y="32531017"/>
              <a:ext cx="264529" cy="0"/>
            </a:xfrm>
            <a:prstGeom prst="line">
              <a:avLst/>
            </a:prstGeom>
            <a:noFill/>
            <a:ln w="9525">
              <a:solidFill>
                <a:srgbClr val="000000"/>
              </a:solidFill>
              <a:round/>
              <a:headEnd/>
              <a:tailEnd type="arrow" w="med" len="med"/>
            </a:ln>
          </xdr:spPr>
        </xdr:sp>
        <xdr:sp macro="" textlink="">
          <xdr:nvSpPr>
            <xdr:cNvPr id="3793" name="Line 8992">
              <a:extLst>
                <a:ext uri="{FF2B5EF4-FFF2-40B4-BE49-F238E27FC236}">
                  <a16:creationId xmlns:a16="http://schemas.microsoft.com/office/drawing/2014/main" id="{00000000-0008-0000-0000-0000D10E0000}"/>
                </a:ext>
              </a:extLst>
            </xdr:cNvPr>
            <xdr:cNvSpPr>
              <a:spLocks noChangeShapeType="1"/>
            </xdr:cNvSpPr>
          </xdr:nvSpPr>
          <xdr:spPr bwMode="auto">
            <a:xfrm flipH="1">
              <a:off x="2179570" y="32677427"/>
              <a:ext cx="363079" cy="0"/>
            </a:xfrm>
            <a:prstGeom prst="line">
              <a:avLst/>
            </a:prstGeom>
            <a:noFill/>
            <a:ln w="9525">
              <a:solidFill>
                <a:srgbClr val="000000"/>
              </a:solidFill>
              <a:round/>
              <a:headEnd/>
              <a:tailEnd type="arrow" w="med" len="med"/>
            </a:ln>
          </xdr:spPr>
        </xdr:sp>
        <xdr:sp macro="" textlink="">
          <xdr:nvSpPr>
            <xdr:cNvPr id="3794" name="Line 8993">
              <a:extLst>
                <a:ext uri="{FF2B5EF4-FFF2-40B4-BE49-F238E27FC236}">
                  <a16:creationId xmlns:a16="http://schemas.microsoft.com/office/drawing/2014/main" id="{00000000-0008-0000-0000-0000D20E0000}"/>
                </a:ext>
              </a:extLst>
            </xdr:cNvPr>
            <xdr:cNvSpPr>
              <a:spLocks noChangeShapeType="1"/>
            </xdr:cNvSpPr>
          </xdr:nvSpPr>
          <xdr:spPr bwMode="auto">
            <a:xfrm flipH="1">
              <a:off x="2198620" y="32857154"/>
              <a:ext cx="399387" cy="0"/>
            </a:xfrm>
            <a:prstGeom prst="line">
              <a:avLst/>
            </a:prstGeom>
            <a:noFill/>
            <a:ln w="9525">
              <a:solidFill>
                <a:srgbClr val="000000"/>
              </a:solidFill>
              <a:round/>
              <a:headEnd/>
              <a:tailEnd type="arrow" w="med" len="med"/>
            </a:ln>
          </xdr:spPr>
        </xdr:sp>
        <xdr:sp macro="" textlink="">
          <xdr:nvSpPr>
            <xdr:cNvPr id="3795" name="Line 8995">
              <a:extLst>
                <a:ext uri="{FF2B5EF4-FFF2-40B4-BE49-F238E27FC236}">
                  <a16:creationId xmlns:a16="http://schemas.microsoft.com/office/drawing/2014/main" id="{00000000-0008-0000-0000-0000D30E0000}"/>
                </a:ext>
              </a:extLst>
            </xdr:cNvPr>
            <xdr:cNvSpPr>
              <a:spLocks noChangeShapeType="1"/>
            </xdr:cNvSpPr>
          </xdr:nvSpPr>
          <xdr:spPr bwMode="auto">
            <a:xfrm flipH="1">
              <a:off x="2203806" y="33032139"/>
              <a:ext cx="508311" cy="0"/>
            </a:xfrm>
            <a:prstGeom prst="line">
              <a:avLst/>
            </a:prstGeom>
            <a:noFill/>
            <a:ln w="9525">
              <a:solidFill>
                <a:srgbClr val="000000"/>
              </a:solidFill>
              <a:round/>
              <a:headEnd/>
              <a:tailEnd type="arrow" w="med" len="med"/>
            </a:ln>
          </xdr:spPr>
        </xdr:sp>
        <xdr:sp macro="" textlink="">
          <xdr:nvSpPr>
            <xdr:cNvPr id="3796" name="Line 8997">
              <a:extLst>
                <a:ext uri="{FF2B5EF4-FFF2-40B4-BE49-F238E27FC236}">
                  <a16:creationId xmlns:a16="http://schemas.microsoft.com/office/drawing/2014/main" id="{00000000-0008-0000-0000-0000D40E0000}"/>
                </a:ext>
              </a:extLst>
            </xdr:cNvPr>
            <xdr:cNvSpPr>
              <a:spLocks noChangeShapeType="1"/>
            </xdr:cNvSpPr>
          </xdr:nvSpPr>
          <xdr:spPr bwMode="auto">
            <a:xfrm flipH="1">
              <a:off x="2208145" y="33214112"/>
              <a:ext cx="606861" cy="0"/>
            </a:xfrm>
            <a:prstGeom prst="line">
              <a:avLst/>
            </a:prstGeom>
            <a:noFill/>
            <a:ln w="9525">
              <a:solidFill>
                <a:srgbClr val="000000"/>
              </a:solidFill>
              <a:round/>
              <a:headEnd/>
              <a:tailEnd type="arrow" w="med" len="med"/>
            </a:ln>
          </xdr:spPr>
        </xdr:sp>
      </xdr:grpSp>
      <xdr:sp macro="" textlink="">
        <xdr:nvSpPr>
          <xdr:cNvPr id="1152" name="Text Box 555">
            <a:extLst>
              <a:ext uri="{FF2B5EF4-FFF2-40B4-BE49-F238E27FC236}">
                <a16:creationId xmlns:a16="http://schemas.microsoft.com/office/drawing/2014/main" id="{00000000-0008-0000-0000-000080040000}"/>
              </a:ext>
            </a:extLst>
          </xdr:cNvPr>
          <xdr:cNvSpPr txBox="1">
            <a:spLocks noChangeArrowheads="1"/>
          </xdr:cNvSpPr>
        </xdr:nvSpPr>
        <xdr:spPr bwMode="auto">
          <a:xfrm>
            <a:off x="3085712" y="33137670"/>
            <a:ext cx="1110188" cy="192051"/>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µ x ∑ V / ∑ H   =</a:t>
            </a:r>
          </a:p>
        </xdr:txBody>
      </xdr:sp>
      <xdr:sp macro="" textlink="">
        <xdr:nvSpPr>
          <xdr:cNvPr id="1153" name="Text Box 556">
            <a:extLst>
              <a:ext uri="{FF2B5EF4-FFF2-40B4-BE49-F238E27FC236}">
                <a16:creationId xmlns:a16="http://schemas.microsoft.com/office/drawing/2014/main" id="{00000000-0008-0000-0000-000081040000}"/>
              </a:ext>
            </a:extLst>
          </xdr:cNvPr>
          <xdr:cNvSpPr txBox="1">
            <a:spLocks noChangeArrowheads="1"/>
          </xdr:cNvSpPr>
        </xdr:nvSpPr>
        <xdr:spPr bwMode="auto">
          <a:xfrm>
            <a:off x="3101233" y="33507730"/>
            <a:ext cx="1224053" cy="24817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000" b="0" i="0">
                <a:latin typeface="+mn-lt"/>
                <a:ea typeface="+mn-ea"/>
                <a:cs typeface="+mn-cs"/>
              </a:rPr>
              <a:t>M</a:t>
            </a:r>
            <a:r>
              <a:rPr lang="en-US" sz="1000" b="0" i="0" baseline="-25000">
                <a:latin typeface="+mn-lt"/>
                <a:ea typeface="+mn-ea"/>
                <a:cs typeface="+mn-cs"/>
              </a:rPr>
              <a:t>s  </a:t>
            </a:r>
            <a:r>
              <a:rPr lang="en-US" sz="1000" b="0" i="0" baseline="0">
                <a:latin typeface="+mn-lt"/>
                <a:ea typeface="+mn-ea"/>
                <a:cs typeface="+mn-cs"/>
              </a:rPr>
              <a:t> / (</a:t>
            </a:r>
            <a:r>
              <a:rPr lang="en-US" sz="1100" b="0" i="0" strike="noStrike" baseline="0">
                <a:solidFill>
                  <a:srgbClr val="000000"/>
                </a:solidFill>
                <a:latin typeface="Calibri"/>
                <a:cs typeface="Calibri"/>
              </a:rPr>
              <a:t> </a:t>
            </a:r>
            <a:r>
              <a:rPr lang="en-US" sz="1100" b="0" i="0" strike="noStrike">
                <a:solidFill>
                  <a:srgbClr val="000000"/>
                </a:solidFill>
                <a:latin typeface="Calibri"/>
                <a:cs typeface="Calibri"/>
              </a:rPr>
              <a:t>M</a:t>
            </a:r>
            <a:r>
              <a:rPr lang="en-US" sz="1100" b="0" i="0" strike="noStrike" baseline="-25000">
                <a:solidFill>
                  <a:srgbClr val="000000"/>
                </a:solidFill>
                <a:latin typeface="Calibri"/>
                <a:cs typeface="Calibri"/>
              </a:rPr>
              <a:t>lls </a:t>
            </a:r>
            <a:r>
              <a:rPr lang="en-US" sz="1100" b="0" i="0" strike="noStrike">
                <a:solidFill>
                  <a:srgbClr val="000000"/>
                </a:solidFill>
                <a:latin typeface="Calibri"/>
                <a:cs typeface="Calibri"/>
              </a:rPr>
              <a:t>+ M</a:t>
            </a:r>
            <a:r>
              <a:rPr lang="en-US" sz="1100" b="0" i="0" strike="noStrike" baseline="-25000">
                <a:solidFill>
                  <a:srgbClr val="000000"/>
                </a:solidFill>
                <a:latin typeface="Calibri"/>
                <a:cs typeface="Calibri"/>
              </a:rPr>
              <a:t>sp </a:t>
            </a:r>
            <a:r>
              <a:rPr lang="en-US" sz="1100" b="0" i="0" strike="noStrike">
                <a:solidFill>
                  <a:srgbClr val="000000"/>
                </a:solidFill>
                <a:latin typeface="Calibri"/>
                <a:cs typeface="Calibri"/>
              </a:rPr>
              <a:t>) =</a:t>
            </a:r>
          </a:p>
        </xdr:txBody>
      </xdr:sp>
      <xdr:sp macro="" textlink="">
        <xdr:nvSpPr>
          <xdr:cNvPr id="1250" name="Rectangle 1249">
            <a:extLst>
              <a:ext uri="{FF2B5EF4-FFF2-40B4-BE49-F238E27FC236}">
                <a16:creationId xmlns:a16="http://schemas.microsoft.com/office/drawing/2014/main" id="{00000000-0008-0000-0000-0000E2040000}"/>
              </a:ext>
            </a:extLst>
          </xdr:cNvPr>
          <xdr:cNvSpPr/>
        </xdr:nvSpPr>
        <xdr:spPr>
          <a:xfrm>
            <a:off x="1681372" y="32194365"/>
            <a:ext cx="370063" cy="1142703"/>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sp macro="" textlink="">
        <xdr:nvSpPr>
          <xdr:cNvPr id="1253" name="Right Triangle 1252">
            <a:extLst>
              <a:ext uri="{FF2B5EF4-FFF2-40B4-BE49-F238E27FC236}">
                <a16:creationId xmlns:a16="http://schemas.microsoft.com/office/drawing/2014/main" id="{00000000-0008-0000-0000-0000E5040000}"/>
              </a:ext>
            </a:extLst>
          </xdr:cNvPr>
          <xdr:cNvSpPr/>
        </xdr:nvSpPr>
        <xdr:spPr>
          <a:xfrm>
            <a:off x="2174789" y="32155955"/>
            <a:ext cx="711659" cy="1171511"/>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sp macro="" textlink="">
        <xdr:nvSpPr>
          <xdr:cNvPr id="1193" name="Text Box 8517">
            <a:extLst>
              <a:ext uri="{FF2B5EF4-FFF2-40B4-BE49-F238E27FC236}">
                <a16:creationId xmlns:a16="http://schemas.microsoft.com/office/drawing/2014/main" id="{00000000-0008-0000-0000-0000A9040000}"/>
              </a:ext>
            </a:extLst>
          </xdr:cNvPr>
          <xdr:cNvSpPr txBox="1">
            <a:spLocks noChangeArrowheads="1"/>
          </xdr:cNvSpPr>
        </xdr:nvSpPr>
        <xdr:spPr bwMode="auto">
          <a:xfrm>
            <a:off x="1633928" y="33730772"/>
            <a:ext cx="996322" cy="28807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Live Load Surcharge </a:t>
            </a:r>
          </a:p>
        </xdr:txBody>
      </xdr:sp>
      <xdr:sp macro="" textlink="">
        <xdr:nvSpPr>
          <xdr:cNvPr id="3710" name="Line 279">
            <a:extLst>
              <a:ext uri="{FF2B5EF4-FFF2-40B4-BE49-F238E27FC236}">
                <a16:creationId xmlns:a16="http://schemas.microsoft.com/office/drawing/2014/main" id="{00000000-0008-0000-0000-00007E0E0000}"/>
              </a:ext>
            </a:extLst>
          </xdr:cNvPr>
          <xdr:cNvSpPr>
            <a:spLocks noChangeShapeType="1"/>
          </xdr:cNvSpPr>
        </xdr:nvSpPr>
        <xdr:spPr bwMode="auto">
          <a:xfrm flipH="1">
            <a:off x="290165" y="35204910"/>
            <a:ext cx="454940" cy="156766"/>
          </a:xfrm>
          <a:prstGeom prst="line">
            <a:avLst/>
          </a:prstGeom>
          <a:noFill/>
          <a:ln w="9525">
            <a:solidFill>
              <a:srgbClr val="000000"/>
            </a:solidFill>
            <a:prstDash val="dash"/>
            <a:round/>
            <a:headEnd/>
            <a:tailEnd/>
          </a:ln>
        </xdr:spPr>
      </xdr:sp>
      <xdr:sp macro="" textlink="">
        <xdr:nvSpPr>
          <xdr:cNvPr id="3711" name="Line 280">
            <a:extLst>
              <a:ext uri="{FF2B5EF4-FFF2-40B4-BE49-F238E27FC236}">
                <a16:creationId xmlns:a16="http://schemas.microsoft.com/office/drawing/2014/main" id="{00000000-0008-0000-0000-00007F0E0000}"/>
              </a:ext>
            </a:extLst>
          </xdr:cNvPr>
          <xdr:cNvSpPr>
            <a:spLocks noChangeShapeType="1"/>
          </xdr:cNvSpPr>
        </xdr:nvSpPr>
        <xdr:spPr bwMode="auto">
          <a:xfrm>
            <a:off x="1127993" y="35191279"/>
            <a:ext cx="444132" cy="170398"/>
          </a:xfrm>
          <a:prstGeom prst="line">
            <a:avLst/>
          </a:prstGeom>
          <a:noFill/>
          <a:ln w="9525">
            <a:solidFill>
              <a:srgbClr val="000000"/>
            </a:solidFill>
            <a:prstDash val="dash"/>
            <a:round/>
            <a:headEnd/>
            <a:tailEnd/>
          </a:ln>
        </xdr:spPr>
      </xdr:sp>
      <xdr:sp macro="" textlink="">
        <xdr:nvSpPr>
          <xdr:cNvPr id="3712" name="Line 357">
            <a:extLst>
              <a:ext uri="{FF2B5EF4-FFF2-40B4-BE49-F238E27FC236}">
                <a16:creationId xmlns:a16="http://schemas.microsoft.com/office/drawing/2014/main" id="{00000000-0008-0000-0000-0000800E0000}"/>
              </a:ext>
            </a:extLst>
          </xdr:cNvPr>
          <xdr:cNvSpPr>
            <a:spLocks noChangeShapeType="1"/>
          </xdr:cNvSpPr>
        </xdr:nvSpPr>
        <xdr:spPr bwMode="auto">
          <a:xfrm flipH="1">
            <a:off x="358613" y="34864114"/>
            <a:ext cx="43230" cy="40895"/>
          </a:xfrm>
          <a:prstGeom prst="line">
            <a:avLst/>
          </a:prstGeom>
          <a:noFill/>
          <a:ln w="9525">
            <a:solidFill>
              <a:srgbClr val="000000"/>
            </a:solidFill>
            <a:round/>
            <a:headEnd/>
            <a:tailEnd/>
          </a:ln>
        </xdr:spPr>
      </xdr:sp>
      <xdr:sp macro="" textlink="">
        <xdr:nvSpPr>
          <xdr:cNvPr id="3713" name="Line 358">
            <a:extLst>
              <a:ext uri="{FF2B5EF4-FFF2-40B4-BE49-F238E27FC236}">
                <a16:creationId xmlns:a16="http://schemas.microsoft.com/office/drawing/2014/main" id="{00000000-0008-0000-0000-0000810E0000}"/>
              </a:ext>
            </a:extLst>
          </xdr:cNvPr>
          <xdr:cNvSpPr>
            <a:spLocks noChangeShapeType="1"/>
          </xdr:cNvSpPr>
        </xdr:nvSpPr>
        <xdr:spPr bwMode="auto">
          <a:xfrm flipH="1">
            <a:off x="380229" y="34864114"/>
            <a:ext cx="43230" cy="40895"/>
          </a:xfrm>
          <a:prstGeom prst="line">
            <a:avLst/>
          </a:prstGeom>
          <a:noFill/>
          <a:ln w="9525">
            <a:solidFill>
              <a:srgbClr val="000000"/>
            </a:solidFill>
            <a:round/>
            <a:headEnd/>
            <a:tailEnd/>
          </a:ln>
        </xdr:spPr>
      </xdr:sp>
      <xdr:sp macro="" textlink="">
        <xdr:nvSpPr>
          <xdr:cNvPr id="3714" name="Line 359">
            <a:extLst>
              <a:ext uri="{FF2B5EF4-FFF2-40B4-BE49-F238E27FC236}">
                <a16:creationId xmlns:a16="http://schemas.microsoft.com/office/drawing/2014/main" id="{00000000-0008-0000-0000-0000820E0000}"/>
              </a:ext>
            </a:extLst>
          </xdr:cNvPr>
          <xdr:cNvSpPr>
            <a:spLocks noChangeShapeType="1"/>
          </xdr:cNvSpPr>
        </xdr:nvSpPr>
        <xdr:spPr bwMode="auto">
          <a:xfrm flipH="1">
            <a:off x="405447" y="34864114"/>
            <a:ext cx="43230" cy="40895"/>
          </a:xfrm>
          <a:prstGeom prst="line">
            <a:avLst/>
          </a:prstGeom>
          <a:noFill/>
          <a:ln w="9525">
            <a:solidFill>
              <a:srgbClr val="000000"/>
            </a:solidFill>
            <a:round/>
            <a:headEnd/>
            <a:tailEnd/>
          </a:ln>
        </xdr:spPr>
      </xdr:sp>
      <xdr:sp macro="" textlink="">
        <xdr:nvSpPr>
          <xdr:cNvPr id="3715" name="Line 360">
            <a:extLst>
              <a:ext uri="{FF2B5EF4-FFF2-40B4-BE49-F238E27FC236}">
                <a16:creationId xmlns:a16="http://schemas.microsoft.com/office/drawing/2014/main" id="{00000000-0008-0000-0000-0000830E0000}"/>
              </a:ext>
            </a:extLst>
          </xdr:cNvPr>
          <xdr:cNvSpPr>
            <a:spLocks noChangeShapeType="1"/>
          </xdr:cNvSpPr>
        </xdr:nvSpPr>
        <xdr:spPr bwMode="auto">
          <a:xfrm>
            <a:off x="455882" y="34864114"/>
            <a:ext cx="39628" cy="47712"/>
          </a:xfrm>
          <a:prstGeom prst="line">
            <a:avLst/>
          </a:prstGeom>
          <a:noFill/>
          <a:ln w="9525">
            <a:solidFill>
              <a:srgbClr val="000000"/>
            </a:solidFill>
            <a:round/>
            <a:headEnd/>
            <a:tailEnd/>
          </a:ln>
        </xdr:spPr>
      </xdr:sp>
      <xdr:sp macro="" textlink="">
        <xdr:nvSpPr>
          <xdr:cNvPr id="3716" name="Line 361">
            <a:extLst>
              <a:ext uri="{FF2B5EF4-FFF2-40B4-BE49-F238E27FC236}">
                <a16:creationId xmlns:a16="http://schemas.microsoft.com/office/drawing/2014/main" id="{00000000-0008-0000-0000-0000840E0000}"/>
              </a:ext>
            </a:extLst>
          </xdr:cNvPr>
          <xdr:cNvSpPr>
            <a:spLocks noChangeShapeType="1"/>
          </xdr:cNvSpPr>
        </xdr:nvSpPr>
        <xdr:spPr bwMode="auto">
          <a:xfrm>
            <a:off x="481100" y="34864114"/>
            <a:ext cx="36026" cy="47712"/>
          </a:xfrm>
          <a:prstGeom prst="line">
            <a:avLst/>
          </a:prstGeom>
          <a:noFill/>
          <a:ln w="9525">
            <a:solidFill>
              <a:srgbClr val="000000"/>
            </a:solidFill>
            <a:round/>
            <a:headEnd/>
            <a:tailEnd/>
          </a:ln>
        </xdr:spPr>
      </xdr:sp>
      <xdr:sp macro="" textlink="">
        <xdr:nvSpPr>
          <xdr:cNvPr id="3717" name="Line 362">
            <a:extLst>
              <a:ext uri="{FF2B5EF4-FFF2-40B4-BE49-F238E27FC236}">
                <a16:creationId xmlns:a16="http://schemas.microsoft.com/office/drawing/2014/main" id="{00000000-0008-0000-0000-0000850E0000}"/>
              </a:ext>
            </a:extLst>
          </xdr:cNvPr>
          <xdr:cNvSpPr>
            <a:spLocks noChangeShapeType="1"/>
          </xdr:cNvSpPr>
        </xdr:nvSpPr>
        <xdr:spPr bwMode="auto">
          <a:xfrm>
            <a:off x="506319" y="34870931"/>
            <a:ext cx="36026" cy="47712"/>
          </a:xfrm>
          <a:prstGeom prst="line">
            <a:avLst/>
          </a:prstGeom>
          <a:noFill/>
          <a:ln w="9525">
            <a:solidFill>
              <a:srgbClr val="000000"/>
            </a:solidFill>
            <a:round/>
            <a:headEnd/>
            <a:tailEnd/>
          </a:ln>
        </xdr:spPr>
      </xdr:sp>
      <xdr:sp macro="" textlink="">
        <xdr:nvSpPr>
          <xdr:cNvPr id="3718" name="Line 293">
            <a:extLst>
              <a:ext uri="{FF2B5EF4-FFF2-40B4-BE49-F238E27FC236}">
                <a16:creationId xmlns:a16="http://schemas.microsoft.com/office/drawing/2014/main" id="{00000000-0008-0000-0000-0000860E0000}"/>
              </a:ext>
            </a:extLst>
          </xdr:cNvPr>
          <xdr:cNvSpPr>
            <a:spLocks noChangeShapeType="1"/>
          </xdr:cNvSpPr>
        </xdr:nvSpPr>
        <xdr:spPr bwMode="auto">
          <a:xfrm>
            <a:off x="282960" y="35477546"/>
            <a:ext cx="1289164" cy="0"/>
          </a:xfrm>
          <a:prstGeom prst="line">
            <a:avLst/>
          </a:prstGeom>
          <a:noFill/>
          <a:ln w="9525">
            <a:solidFill>
              <a:srgbClr val="000000"/>
            </a:solidFill>
            <a:prstDash val="dash"/>
            <a:round/>
            <a:headEnd/>
            <a:tailEnd/>
          </a:ln>
        </xdr:spPr>
      </xdr:sp>
      <xdr:sp macro="" textlink="">
        <xdr:nvSpPr>
          <xdr:cNvPr id="3719" name="Line 294">
            <a:extLst>
              <a:ext uri="{FF2B5EF4-FFF2-40B4-BE49-F238E27FC236}">
                <a16:creationId xmlns:a16="http://schemas.microsoft.com/office/drawing/2014/main" id="{00000000-0008-0000-0000-0000870E0000}"/>
              </a:ext>
            </a:extLst>
          </xdr:cNvPr>
          <xdr:cNvSpPr>
            <a:spLocks noChangeShapeType="1"/>
          </xdr:cNvSpPr>
        </xdr:nvSpPr>
        <xdr:spPr bwMode="auto">
          <a:xfrm flipH="1">
            <a:off x="282960" y="35368492"/>
            <a:ext cx="0" cy="115871"/>
          </a:xfrm>
          <a:prstGeom prst="line">
            <a:avLst/>
          </a:prstGeom>
          <a:noFill/>
          <a:ln w="9525">
            <a:solidFill>
              <a:srgbClr val="000000"/>
            </a:solidFill>
            <a:prstDash val="dash"/>
            <a:round/>
            <a:headEnd/>
            <a:tailEnd/>
          </a:ln>
        </xdr:spPr>
      </xdr:sp>
      <xdr:sp macro="" textlink="">
        <xdr:nvSpPr>
          <xdr:cNvPr id="3720" name="Line 295">
            <a:extLst>
              <a:ext uri="{FF2B5EF4-FFF2-40B4-BE49-F238E27FC236}">
                <a16:creationId xmlns:a16="http://schemas.microsoft.com/office/drawing/2014/main" id="{00000000-0008-0000-0000-0000880E0000}"/>
              </a:ext>
            </a:extLst>
          </xdr:cNvPr>
          <xdr:cNvSpPr>
            <a:spLocks noChangeShapeType="1"/>
          </xdr:cNvSpPr>
        </xdr:nvSpPr>
        <xdr:spPr bwMode="auto">
          <a:xfrm flipH="1">
            <a:off x="1572124" y="35361676"/>
            <a:ext cx="0" cy="109055"/>
          </a:xfrm>
          <a:prstGeom prst="line">
            <a:avLst/>
          </a:prstGeom>
          <a:noFill/>
          <a:ln w="9525">
            <a:solidFill>
              <a:srgbClr val="000000"/>
            </a:solidFill>
            <a:prstDash val="dash"/>
            <a:round/>
            <a:headEnd/>
            <a:tailEnd/>
          </a:ln>
        </xdr:spPr>
      </xdr:sp>
      <xdr:sp macro="" textlink="">
        <xdr:nvSpPr>
          <xdr:cNvPr id="3721" name="Line 296">
            <a:extLst>
              <a:ext uri="{FF2B5EF4-FFF2-40B4-BE49-F238E27FC236}">
                <a16:creationId xmlns:a16="http://schemas.microsoft.com/office/drawing/2014/main" id="{00000000-0008-0000-0000-0000890E0000}"/>
              </a:ext>
            </a:extLst>
          </xdr:cNvPr>
          <xdr:cNvSpPr>
            <a:spLocks noChangeShapeType="1"/>
          </xdr:cNvSpPr>
        </xdr:nvSpPr>
        <xdr:spPr bwMode="auto">
          <a:xfrm flipH="1">
            <a:off x="795541" y="34155258"/>
            <a:ext cx="86462" cy="708855"/>
          </a:xfrm>
          <a:prstGeom prst="line">
            <a:avLst/>
          </a:prstGeom>
          <a:noFill/>
          <a:ln w="9525">
            <a:solidFill>
              <a:srgbClr val="000000"/>
            </a:solidFill>
            <a:round/>
            <a:headEnd/>
            <a:tailEnd/>
          </a:ln>
        </xdr:spPr>
      </xdr:sp>
      <xdr:sp macro="" textlink="">
        <xdr:nvSpPr>
          <xdr:cNvPr id="3722" name="Line 297">
            <a:extLst>
              <a:ext uri="{FF2B5EF4-FFF2-40B4-BE49-F238E27FC236}">
                <a16:creationId xmlns:a16="http://schemas.microsoft.com/office/drawing/2014/main" id="{00000000-0008-0000-0000-00008A0E0000}"/>
              </a:ext>
            </a:extLst>
          </xdr:cNvPr>
          <xdr:cNvSpPr>
            <a:spLocks noChangeShapeType="1"/>
          </xdr:cNvSpPr>
        </xdr:nvSpPr>
        <xdr:spPr bwMode="auto">
          <a:xfrm flipH="1">
            <a:off x="745105" y="34857299"/>
            <a:ext cx="50435" cy="340795"/>
          </a:xfrm>
          <a:prstGeom prst="line">
            <a:avLst/>
          </a:prstGeom>
          <a:noFill/>
          <a:ln w="9525">
            <a:solidFill>
              <a:srgbClr val="000000"/>
            </a:solidFill>
            <a:prstDash val="dash"/>
            <a:round/>
            <a:headEnd/>
            <a:tailEnd/>
          </a:ln>
        </xdr:spPr>
      </xdr:sp>
      <xdr:sp macro="" textlink="">
        <xdr:nvSpPr>
          <xdr:cNvPr id="3723" name="Line 299">
            <a:extLst>
              <a:ext uri="{FF2B5EF4-FFF2-40B4-BE49-F238E27FC236}">
                <a16:creationId xmlns:a16="http://schemas.microsoft.com/office/drawing/2014/main" id="{00000000-0008-0000-0000-00008B0E0000}"/>
              </a:ext>
            </a:extLst>
          </xdr:cNvPr>
          <xdr:cNvSpPr>
            <a:spLocks noChangeShapeType="1"/>
          </xdr:cNvSpPr>
        </xdr:nvSpPr>
        <xdr:spPr bwMode="auto">
          <a:xfrm>
            <a:off x="885604" y="34155258"/>
            <a:ext cx="104474" cy="0"/>
          </a:xfrm>
          <a:prstGeom prst="line">
            <a:avLst/>
          </a:prstGeom>
          <a:noFill/>
          <a:ln w="9525">
            <a:solidFill>
              <a:srgbClr val="000000"/>
            </a:solidFill>
            <a:round/>
            <a:headEnd/>
            <a:tailEnd/>
          </a:ln>
        </xdr:spPr>
      </xdr:sp>
      <xdr:sp macro="" textlink="">
        <xdr:nvSpPr>
          <xdr:cNvPr id="3724" name="Line 300">
            <a:extLst>
              <a:ext uri="{FF2B5EF4-FFF2-40B4-BE49-F238E27FC236}">
                <a16:creationId xmlns:a16="http://schemas.microsoft.com/office/drawing/2014/main" id="{00000000-0008-0000-0000-00008C0E0000}"/>
              </a:ext>
            </a:extLst>
          </xdr:cNvPr>
          <xdr:cNvSpPr>
            <a:spLocks noChangeShapeType="1"/>
          </xdr:cNvSpPr>
        </xdr:nvSpPr>
        <xdr:spPr bwMode="auto">
          <a:xfrm>
            <a:off x="990078" y="34155258"/>
            <a:ext cx="90063" cy="708855"/>
          </a:xfrm>
          <a:prstGeom prst="line">
            <a:avLst/>
          </a:prstGeom>
          <a:noFill/>
          <a:ln w="9525">
            <a:solidFill>
              <a:srgbClr val="000000"/>
            </a:solidFill>
            <a:round/>
            <a:headEnd/>
            <a:tailEnd/>
          </a:ln>
        </xdr:spPr>
      </xdr:sp>
      <xdr:sp macro="" textlink="">
        <xdr:nvSpPr>
          <xdr:cNvPr id="3725" name="Line 301">
            <a:extLst>
              <a:ext uri="{FF2B5EF4-FFF2-40B4-BE49-F238E27FC236}">
                <a16:creationId xmlns:a16="http://schemas.microsoft.com/office/drawing/2014/main" id="{00000000-0008-0000-0000-00008D0E0000}"/>
              </a:ext>
            </a:extLst>
          </xdr:cNvPr>
          <xdr:cNvSpPr>
            <a:spLocks noChangeShapeType="1"/>
          </xdr:cNvSpPr>
        </xdr:nvSpPr>
        <xdr:spPr bwMode="auto">
          <a:xfrm>
            <a:off x="1081160" y="34877747"/>
            <a:ext cx="50435" cy="313532"/>
          </a:xfrm>
          <a:prstGeom prst="line">
            <a:avLst/>
          </a:prstGeom>
          <a:noFill/>
          <a:ln w="9525">
            <a:solidFill>
              <a:srgbClr val="000000"/>
            </a:solidFill>
            <a:prstDash val="dash"/>
            <a:round/>
            <a:headEnd/>
            <a:tailEnd/>
          </a:ln>
        </xdr:spPr>
      </xdr:sp>
      <xdr:sp macro="" textlink="">
        <xdr:nvSpPr>
          <xdr:cNvPr id="3726" name="Line 8415">
            <a:extLst>
              <a:ext uri="{FF2B5EF4-FFF2-40B4-BE49-F238E27FC236}">
                <a16:creationId xmlns:a16="http://schemas.microsoft.com/office/drawing/2014/main" id="{00000000-0008-0000-0000-00008E0E0000}"/>
              </a:ext>
            </a:extLst>
          </xdr:cNvPr>
          <xdr:cNvSpPr>
            <a:spLocks noChangeShapeType="1"/>
          </xdr:cNvSpPr>
        </xdr:nvSpPr>
        <xdr:spPr bwMode="auto">
          <a:xfrm>
            <a:off x="745105" y="35198094"/>
            <a:ext cx="382888" cy="0"/>
          </a:xfrm>
          <a:prstGeom prst="line">
            <a:avLst/>
          </a:prstGeom>
          <a:noFill/>
          <a:ln w="9525">
            <a:solidFill>
              <a:srgbClr val="000000"/>
            </a:solidFill>
            <a:prstDash val="dash"/>
            <a:round/>
            <a:headEnd/>
            <a:tailEnd/>
          </a:ln>
        </xdr:spPr>
      </xdr:sp>
      <xdr:cxnSp macro="">
        <xdr:nvCxnSpPr>
          <xdr:cNvPr id="1172" name="Straight Connector 1171">
            <a:extLst>
              <a:ext uri="{FF2B5EF4-FFF2-40B4-BE49-F238E27FC236}">
                <a16:creationId xmlns:a16="http://schemas.microsoft.com/office/drawing/2014/main" id="{00000000-0008-0000-0000-000094040000}"/>
              </a:ext>
            </a:extLst>
          </xdr:cNvPr>
          <xdr:cNvCxnSpPr>
            <a:stCxn id="3724" idx="0"/>
          </xdr:cNvCxnSpPr>
        </xdr:nvCxnSpPr>
        <xdr:spPr>
          <a:xfrm rot="16200000" flipH="1">
            <a:off x="1752424" y="33389550"/>
            <a:ext cx="19205" cy="1546672"/>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728" name="Line 357">
            <a:extLst>
              <a:ext uri="{FF2B5EF4-FFF2-40B4-BE49-F238E27FC236}">
                <a16:creationId xmlns:a16="http://schemas.microsoft.com/office/drawing/2014/main" id="{00000000-0008-0000-0000-0000900E0000}"/>
              </a:ext>
            </a:extLst>
          </xdr:cNvPr>
          <xdr:cNvSpPr>
            <a:spLocks noChangeShapeType="1"/>
          </xdr:cNvSpPr>
        </xdr:nvSpPr>
        <xdr:spPr bwMode="auto">
          <a:xfrm flipH="1">
            <a:off x="1331639" y="34172464"/>
            <a:ext cx="43230" cy="40895"/>
          </a:xfrm>
          <a:prstGeom prst="line">
            <a:avLst/>
          </a:prstGeom>
          <a:noFill/>
          <a:ln w="9525">
            <a:solidFill>
              <a:srgbClr val="000000"/>
            </a:solidFill>
            <a:round/>
            <a:headEnd/>
            <a:tailEnd/>
          </a:ln>
        </xdr:spPr>
      </xdr:sp>
      <xdr:sp macro="" textlink="">
        <xdr:nvSpPr>
          <xdr:cNvPr id="3729" name="Line 358">
            <a:extLst>
              <a:ext uri="{FF2B5EF4-FFF2-40B4-BE49-F238E27FC236}">
                <a16:creationId xmlns:a16="http://schemas.microsoft.com/office/drawing/2014/main" id="{00000000-0008-0000-0000-0000910E0000}"/>
              </a:ext>
            </a:extLst>
          </xdr:cNvPr>
          <xdr:cNvSpPr>
            <a:spLocks noChangeShapeType="1"/>
          </xdr:cNvSpPr>
        </xdr:nvSpPr>
        <xdr:spPr bwMode="auto">
          <a:xfrm flipH="1">
            <a:off x="1353254" y="34172464"/>
            <a:ext cx="43230" cy="40895"/>
          </a:xfrm>
          <a:prstGeom prst="line">
            <a:avLst/>
          </a:prstGeom>
          <a:noFill/>
          <a:ln w="9525">
            <a:solidFill>
              <a:srgbClr val="000000"/>
            </a:solidFill>
            <a:round/>
            <a:headEnd/>
            <a:tailEnd/>
          </a:ln>
        </xdr:spPr>
      </xdr:sp>
      <xdr:sp macro="" textlink="">
        <xdr:nvSpPr>
          <xdr:cNvPr id="3730" name="Line 359">
            <a:extLst>
              <a:ext uri="{FF2B5EF4-FFF2-40B4-BE49-F238E27FC236}">
                <a16:creationId xmlns:a16="http://schemas.microsoft.com/office/drawing/2014/main" id="{00000000-0008-0000-0000-0000920E0000}"/>
              </a:ext>
            </a:extLst>
          </xdr:cNvPr>
          <xdr:cNvSpPr>
            <a:spLocks noChangeShapeType="1"/>
          </xdr:cNvSpPr>
        </xdr:nvSpPr>
        <xdr:spPr bwMode="auto">
          <a:xfrm flipH="1">
            <a:off x="1378472" y="34172464"/>
            <a:ext cx="43230" cy="40895"/>
          </a:xfrm>
          <a:prstGeom prst="line">
            <a:avLst/>
          </a:prstGeom>
          <a:noFill/>
          <a:ln w="9525">
            <a:solidFill>
              <a:srgbClr val="000000"/>
            </a:solidFill>
            <a:round/>
            <a:headEnd/>
            <a:tailEnd/>
          </a:ln>
        </xdr:spPr>
      </xdr:sp>
      <xdr:sp macro="" textlink="">
        <xdr:nvSpPr>
          <xdr:cNvPr id="3731" name="Line 360">
            <a:extLst>
              <a:ext uri="{FF2B5EF4-FFF2-40B4-BE49-F238E27FC236}">
                <a16:creationId xmlns:a16="http://schemas.microsoft.com/office/drawing/2014/main" id="{00000000-0008-0000-0000-0000930E0000}"/>
              </a:ext>
            </a:extLst>
          </xdr:cNvPr>
          <xdr:cNvSpPr>
            <a:spLocks noChangeShapeType="1"/>
          </xdr:cNvSpPr>
        </xdr:nvSpPr>
        <xdr:spPr bwMode="auto">
          <a:xfrm>
            <a:off x="1428907" y="34172464"/>
            <a:ext cx="39628" cy="47712"/>
          </a:xfrm>
          <a:prstGeom prst="line">
            <a:avLst/>
          </a:prstGeom>
          <a:noFill/>
          <a:ln w="9525">
            <a:solidFill>
              <a:srgbClr val="000000"/>
            </a:solidFill>
            <a:round/>
            <a:headEnd/>
            <a:tailEnd/>
          </a:ln>
        </xdr:spPr>
      </xdr:sp>
      <xdr:sp macro="" textlink="">
        <xdr:nvSpPr>
          <xdr:cNvPr id="3732" name="Line 361">
            <a:extLst>
              <a:ext uri="{FF2B5EF4-FFF2-40B4-BE49-F238E27FC236}">
                <a16:creationId xmlns:a16="http://schemas.microsoft.com/office/drawing/2014/main" id="{00000000-0008-0000-0000-0000940E0000}"/>
              </a:ext>
            </a:extLst>
          </xdr:cNvPr>
          <xdr:cNvSpPr>
            <a:spLocks noChangeShapeType="1"/>
          </xdr:cNvSpPr>
        </xdr:nvSpPr>
        <xdr:spPr bwMode="auto">
          <a:xfrm>
            <a:off x="1454126" y="34172464"/>
            <a:ext cx="36026" cy="47712"/>
          </a:xfrm>
          <a:prstGeom prst="line">
            <a:avLst/>
          </a:prstGeom>
          <a:noFill/>
          <a:ln w="9525">
            <a:solidFill>
              <a:srgbClr val="000000"/>
            </a:solidFill>
            <a:round/>
            <a:headEnd/>
            <a:tailEnd/>
          </a:ln>
        </xdr:spPr>
      </xdr:sp>
      <xdr:sp macro="" textlink="">
        <xdr:nvSpPr>
          <xdr:cNvPr id="3733" name="Line 362">
            <a:extLst>
              <a:ext uri="{FF2B5EF4-FFF2-40B4-BE49-F238E27FC236}">
                <a16:creationId xmlns:a16="http://schemas.microsoft.com/office/drawing/2014/main" id="{00000000-0008-0000-0000-0000950E0000}"/>
              </a:ext>
            </a:extLst>
          </xdr:cNvPr>
          <xdr:cNvSpPr>
            <a:spLocks noChangeShapeType="1"/>
          </xdr:cNvSpPr>
        </xdr:nvSpPr>
        <xdr:spPr bwMode="auto">
          <a:xfrm>
            <a:off x="1479344" y="34179281"/>
            <a:ext cx="36026" cy="47712"/>
          </a:xfrm>
          <a:prstGeom prst="line">
            <a:avLst/>
          </a:prstGeom>
          <a:noFill/>
          <a:ln w="9525">
            <a:solidFill>
              <a:srgbClr val="000000"/>
            </a:solidFill>
            <a:round/>
            <a:headEnd/>
            <a:tailEnd/>
          </a:ln>
        </xdr:spPr>
      </xdr:sp>
      <xdr:sp macro="" textlink="">
        <xdr:nvSpPr>
          <xdr:cNvPr id="3734" name="Line 8972">
            <a:extLst>
              <a:ext uri="{FF2B5EF4-FFF2-40B4-BE49-F238E27FC236}">
                <a16:creationId xmlns:a16="http://schemas.microsoft.com/office/drawing/2014/main" id="{00000000-0008-0000-0000-0000960E0000}"/>
              </a:ext>
            </a:extLst>
          </xdr:cNvPr>
          <xdr:cNvSpPr>
            <a:spLocks noChangeShapeType="1"/>
          </xdr:cNvSpPr>
        </xdr:nvSpPr>
        <xdr:spPr bwMode="auto">
          <a:xfrm rot="16200000" flipH="1">
            <a:off x="1502177" y="34035540"/>
            <a:ext cx="211531" cy="0"/>
          </a:xfrm>
          <a:prstGeom prst="line">
            <a:avLst/>
          </a:prstGeom>
          <a:noFill/>
          <a:ln w="9525">
            <a:solidFill>
              <a:srgbClr val="000000"/>
            </a:solidFill>
            <a:round/>
            <a:headEnd/>
            <a:tailEnd type="arrow" w="med" len="med"/>
          </a:ln>
        </xdr:spPr>
      </xdr:sp>
      <xdr:sp macro="" textlink="">
        <xdr:nvSpPr>
          <xdr:cNvPr id="3735" name="Line 8973">
            <a:extLst>
              <a:ext uri="{FF2B5EF4-FFF2-40B4-BE49-F238E27FC236}">
                <a16:creationId xmlns:a16="http://schemas.microsoft.com/office/drawing/2014/main" id="{00000000-0008-0000-0000-0000970E0000}"/>
              </a:ext>
            </a:extLst>
          </xdr:cNvPr>
          <xdr:cNvSpPr>
            <a:spLocks noChangeShapeType="1"/>
          </xdr:cNvSpPr>
        </xdr:nvSpPr>
        <xdr:spPr bwMode="auto">
          <a:xfrm rot="16200000" flipH="1">
            <a:off x="1578967" y="34035540"/>
            <a:ext cx="211531" cy="0"/>
          </a:xfrm>
          <a:prstGeom prst="line">
            <a:avLst/>
          </a:prstGeom>
          <a:noFill/>
          <a:ln w="9525">
            <a:solidFill>
              <a:srgbClr val="000000"/>
            </a:solidFill>
            <a:round/>
            <a:headEnd/>
            <a:tailEnd type="arrow" w="med" len="med"/>
          </a:ln>
        </xdr:spPr>
      </xdr:sp>
      <xdr:sp macro="" textlink="">
        <xdr:nvSpPr>
          <xdr:cNvPr id="3736" name="Line 8974">
            <a:extLst>
              <a:ext uri="{FF2B5EF4-FFF2-40B4-BE49-F238E27FC236}">
                <a16:creationId xmlns:a16="http://schemas.microsoft.com/office/drawing/2014/main" id="{00000000-0008-0000-0000-0000980E0000}"/>
              </a:ext>
            </a:extLst>
          </xdr:cNvPr>
          <xdr:cNvSpPr>
            <a:spLocks noChangeShapeType="1"/>
          </xdr:cNvSpPr>
        </xdr:nvSpPr>
        <xdr:spPr bwMode="auto">
          <a:xfrm rot="16200000" flipH="1">
            <a:off x="1653381" y="34035540"/>
            <a:ext cx="211531" cy="0"/>
          </a:xfrm>
          <a:prstGeom prst="line">
            <a:avLst/>
          </a:prstGeom>
          <a:noFill/>
          <a:ln w="9525">
            <a:solidFill>
              <a:srgbClr val="000000"/>
            </a:solidFill>
            <a:round/>
            <a:headEnd/>
            <a:tailEnd type="arrow" w="med" len="med"/>
          </a:ln>
        </xdr:spPr>
      </xdr:sp>
      <xdr:sp macro="" textlink="">
        <xdr:nvSpPr>
          <xdr:cNvPr id="3737" name="Line 8975">
            <a:extLst>
              <a:ext uri="{FF2B5EF4-FFF2-40B4-BE49-F238E27FC236}">
                <a16:creationId xmlns:a16="http://schemas.microsoft.com/office/drawing/2014/main" id="{00000000-0008-0000-0000-0000990E0000}"/>
              </a:ext>
            </a:extLst>
          </xdr:cNvPr>
          <xdr:cNvSpPr>
            <a:spLocks noChangeShapeType="1"/>
          </xdr:cNvSpPr>
        </xdr:nvSpPr>
        <xdr:spPr bwMode="auto">
          <a:xfrm rot="16200000" flipH="1">
            <a:off x="1732756" y="34031392"/>
            <a:ext cx="211531" cy="0"/>
          </a:xfrm>
          <a:prstGeom prst="line">
            <a:avLst/>
          </a:prstGeom>
          <a:noFill/>
          <a:ln w="9525">
            <a:solidFill>
              <a:srgbClr val="000000"/>
            </a:solidFill>
            <a:round/>
            <a:headEnd/>
            <a:tailEnd type="arrow" w="med" len="med"/>
          </a:ln>
        </xdr:spPr>
      </xdr:sp>
      <xdr:sp macro="" textlink="">
        <xdr:nvSpPr>
          <xdr:cNvPr id="3738" name="Line 8976">
            <a:extLst>
              <a:ext uri="{FF2B5EF4-FFF2-40B4-BE49-F238E27FC236}">
                <a16:creationId xmlns:a16="http://schemas.microsoft.com/office/drawing/2014/main" id="{00000000-0008-0000-0000-00009A0E0000}"/>
              </a:ext>
            </a:extLst>
          </xdr:cNvPr>
          <xdr:cNvSpPr>
            <a:spLocks noChangeShapeType="1"/>
          </xdr:cNvSpPr>
        </xdr:nvSpPr>
        <xdr:spPr bwMode="auto">
          <a:xfrm rot="16200000" flipH="1">
            <a:off x="1807170" y="34031392"/>
            <a:ext cx="211531" cy="0"/>
          </a:xfrm>
          <a:prstGeom prst="line">
            <a:avLst/>
          </a:prstGeom>
          <a:noFill/>
          <a:ln w="9525">
            <a:solidFill>
              <a:srgbClr val="000000"/>
            </a:solidFill>
            <a:round/>
            <a:headEnd/>
            <a:tailEnd type="arrow" w="med" len="med"/>
          </a:ln>
        </xdr:spPr>
      </xdr:sp>
      <xdr:sp macro="" textlink="">
        <xdr:nvSpPr>
          <xdr:cNvPr id="3739" name="Line 8977">
            <a:extLst>
              <a:ext uri="{FF2B5EF4-FFF2-40B4-BE49-F238E27FC236}">
                <a16:creationId xmlns:a16="http://schemas.microsoft.com/office/drawing/2014/main" id="{00000000-0008-0000-0000-00009B0E0000}"/>
              </a:ext>
            </a:extLst>
          </xdr:cNvPr>
          <xdr:cNvSpPr>
            <a:spLocks noChangeShapeType="1"/>
          </xdr:cNvSpPr>
        </xdr:nvSpPr>
        <xdr:spPr bwMode="auto">
          <a:xfrm rot="16200000" flipH="1">
            <a:off x="1886545" y="34031392"/>
            <a:ext cx="211531" cy="0"/>
          </a:xfrm>
          <a:prstGeom prst="line">
            <a:avLst/>
          </a:prstGeom>
          <a:noFill/>
          <a:ln w="9525">
            <a:solidFill>
              <a:srgbClr val="000000"/>
            </a:solidFill>
            <a:round/>
            <a:headEnd/>
            <a:tailEnd type="arrow" w="med" len="med"/>
          </a:ln>
        </xdr:spPr>
      </xdr:sp>
      <xdr:sp macro="" textlink="">
        <xdr:nvSpPr>
          <xdr:cNvPr id="3740" name="Line 8978">
            <a:extLst>
              <a:ext uri="{FF2B5EF4-FFF2-40B4-BE49-F238E27FC236}">
                <a16:creationId xmlns:a16="http://schemas.microsoft.com/office/drawing/2014/main" id="{00000000-0008-0000-0000-00009C0E0000}"/>
              </a:ext>
            </a:extLst>
          </xdr:cNvPr>
          <xdr:cNvSpPr>
            <a:spLocks noChangeShapeType="1"/>
          </xdr:cNvSpPr>
        </xdr:nvSpPr>
        <xdr:spPr bwMode="auto">
          <a:xfrm rot="16200000" flipH="1">
            <a:off x="1965919" y="34031392"/>
            <a:ext cx="211531" cy="0"/>
          </a:xfrm>
          <a:prstGeom prst="line">
            <a:avLst/>
          </a:prstGeom>
          <a:noFill/>
          <a:ln w="9525">
            <a:solidFill>
              <a:srgbClr val="000000"/>
            </a:solidFill>
            <a:round/>
            <a:headEnd/>
            <a:tailEnd type="arrow" w="med" len="med"/>
          </a:ln>
        </xdr:spPr>
      </xdr:sp>
      <xdr:sp macro="" textlink="">
        <xdr:nvSpPr>
          <xdr:cNvPr id="3741" name="Line 8979">
            <a:extLst>
              <a:ext uri="{FF2B5EF4-FFF2-40B4-BE49-F238E27FC236}">
                <a16:creationId xmlns:a16="http://schemas.microsoft.com/office/drawing/2014/main" id="{00000000-0008-0000-0000-00009D0E0000}"/>
              </a:ext>
            </a:extLst>
          </xdr:cNvPr>
          <xdr:cNvSpPr>
            <a:spLocks noChangeShapeType="1"/>
          </xdr:cNvSpPr>
        </xdr:nvSpPr>
        <xdr:spPr bwMode="auto">
          <a:xfrm rot="16200000" flipH="1">
            <a:off x="2037748" y="34031392"/>
            <a:ext cx="211531" cy="0"/>
          </a:xfrm>
          <a:prstGeom prst="line">
            <a:avLst/>
          </a:prstGeom>
          <a:noFill/>
          <a:ln w="9525">
            <a:solidFill>
              <a:srgbClr val="000000"/>
            </a:solidFill>
            <a:round/>
            <a:headEnd/>
            <a:tailEnd type="arrow" w="med" len="med"/>
          </a:ln>
        </xdr:spPr>
      </xdr:sp>
      <xdr:sp macro="" textlink="">
        <xdr:nvSpPr>
          <xdr:cNvPr id="3742" name="Line 8980">
            <a:extLst>
              <a:ext uri="{FF2B5EF4-FFF2-40B4-BE49-F238E27FC236}">
                <a16:creationId xmlns:a16="http://schemas.microsoft.com/office/drawing/2014/main" id="{00000000-0008-0000-0000-00009E0E0000}"/>
              </a:ext>
            </a:extLst>
          </xdr:cNvPr>
          <xdr:cNvSpPr>
            <a:spLocks noChangeShapeType="1"/>
          </xdr:cNvSpPr>
        </xdr:nvSpPr>
        <xdr:spPr bwMode="auto">
          <a:xfrm rot="16200000" flipH="1">
            <a:off x="2117123" y="34031392"/>
            <a:ext cx="211531" cy="0"/>
          </a:xfrm>
          <a:prstGeom prst="line">
            <a:avLst/>
          </a:prstGeom>
          <a:noFill/>
          <a:ln w="9525">
            <a:solidFill>
              <a:srgbClr val="000000"/>
            </a:solidFill>
            <a:round/>
            <a:headEnd/>
            <a:tailEnd type="arrow" w="med" len="med"/>
          </a:ln>
        </xdr:spPr>
      </xdr:sp>
      <xdr:sp macro="" textlink="">
        <xdr:nvSpPr>
          <xdr:cNvPr id="3743" name="Line 8981">
            <a:extLst>
              <a:ext uri="{FF2B5EF4-FFF2-40B4-BE49-F238E27FC236}">
                <a16:creationId xmlns:a16="http://schemas.microsoft.com/office/drawing/2014/main" id="{00000000-0008-0000-0000-00009F0E0000}"/>
              </a:ext>
            </a:extLst>
          </xdr:cNvPr>
          <xdr:cNvSpPr>
            <a:spLocks noChangeShapeType="1"/>
          </xdr:cNvSpPr>
        </xdr:nvSpPr>
        <xdr:spPr bwMode="auto">
          <a:xfrm rot="16200000" flipH="1">
            <a:off x="2196497" y="34031392"/>
            <a:ext cx="211531" cy="0"/>
          </a:xfrm>
          <a:prstGeom prst="line">
            <a:avLst/>
          </a:prstGeom>
          <a:noFill/>
          <a:ln w="9525">
            <a:solidFill>
              <a:srgbClr val="000000"/>
            </a:solidFill>
            <a:round/>
            <a:headEnd/>
            <a:tailEnd type="arrow" w="med" len="med"/>
          </a:ln>
        </xdr:spPr>
      </xdr:sp>
      <xdr:sp macro="" textlink="">
        <xdr:nvSpPr>
          <xdr:cNvPr id="3744" name="Line 8982">
            <a:extLst>
              <a:ext uri="{FF2B5EF4-FFF2-40B4-BE49-F238E27FC236}">
                <a16:creationId xmlns:a16="http://schemas.microsoft.com/office/drawing/2014/main" id="{00000000-0008-0000-0000-0000A00E0000}"/>
              </a:ext>
            </a:extLst>
          </xdr:cNvPr>
          <xdr:cNvSpPr>
            <a:spLocks noChangeShapeType="1"/>
          </xdr:cNvSpPr>
        </xdr:nvSpPr>
        <xdr:spPr bwMode="auto">
          <a:xfrm rot="16200000" flipH="1">
            <a:off x="2270911" y="34027245"/>
            <a:ext cx="211531" cy="0"/>
          </a:xfrm>
          <a:prstGeom prst="line">
            <a:avLst/>
          </a:prstGeom>
          <a:noFill/>
          <a:ln w="9525">
            <a:solidFill>
              <a:srgbClr val="000000"/>
            </a:solidFill>
            <a:round/>
            <a:headEnd/>
            <a:tailEnd type="arrow" w="med" len="med"/>
          </a:ln>
        </xdr:spPr>
      </xdr:sp>
      <xdr:sp macro="" textlink="">
        <xdr:nvSpPr>
          <xdr:cNvPr id="3745" name="Line 8983">
            <a:extLst>
              <a:ext uri="{FF2B5EF4-FFF2-40B4-BE49-F238E27FC236}">
                <a16:creationId xmlns:a16="http://schemas.microsoft.com/office/drawing/2014/main" id="{00000000-0008-0000-0000-0000A10E0000}"/>
              </a:ext>
            </a:extLst>
          </xdr:cNvPr>
          <xdr:cNvSpPr>
            <a:spLocks noChangeShapeType="1"/>
          </xdr:cNvSpPr>
        </xdr:nvSpPr>
        <xdr:spPr bwMode="auto">
          <a:xfrm rot="16200000" flipH="1">
            <a:off x="2350285" y="34031392"/>
            <a:ext cx="211531" cy="0"/>
          </a:xfrm>
          <a:prstGeom prst="line">
            <a:avLst/>
          </a:prstGeom>
          <a:noFill/>
          <a:ln w="9525">
            <a:solidFill>
              <a:srgbClr val="000000"/>
            </a:solidFill>
            <a:round/>
            <a:headEnd/>
            <a:tailEnd type="arrow" w="med" len="med"/>
          </a:ln>
        </xdr:spPr>
      </xdr:sp>
      <xdr:sp macro="" textlink="">
        <xdr:nvSpPr>
          <xdr:cNvPr id="3746" name="Line 8984">
            <a:extLst>
              <a:ext uri="{FF2B5EF4-FFF2-40B4-BE49-F238E27FC236}">
                <a16:creationId xmlns:a16="http://schemas.microsoft.com/office/drawing/2014/main" id="{00000000-0008-0000-0000-0000A20E0000}"/>
              </a:ext>
            </a:extLst>
          </xdr:cNvPr>
          <xdr:cNvSpPr>
            <a:spLocks noChangeShapeType="1"/>
          </xdr:cNvSpPr>
        </xdr:nvSpPr>
        <xdr:spPr bwMode="auto">
          <a:xfrm rot="16200000" flipH="1">
            <a:off x="2434621" y="34031392"/>
            <a:ext cx="211531" cy="0"/>
          </a:xfrm>
          <a:prstGeom prst="line">
            <a:avLst/>
          </a:prstGeom>
          <a:noFill/>
          <a:ln w="9525">
            <a:solidFill>
              <a:srgbClr val="000000"/>
            </a:solidFill>
            <a:round/>
            <a:headEnd/>
            <a:tailEnd type="arrow" w="med" len="med"/>
          </a:ln>
        </xdr:spPr>
      </xdr:sp>
      <xdr:sp macro="" textlink="">
        <xdr:nvSpPr>
          <xdr:cNvPr id="3747" name="Line 356">
            <a:extLst>
              <a:ext uri="{FF2B5EF4-FFF2-40B4-BE49-F238E27FC236}">
                <a16:creationId xmlns:a16="http://schemas.microsoft.com/office/drawing/2014/main" id="{00000000-0008-0000-0000-0000A30E0000}"/>
              </a:ext>
            </a:extLst>
          </xdr:cNvPr>
          <xdr:cNvSpPr>
            <a:spLocks noChangeShapeType="1"/>
          </xdr:cNvSpPr>
        </xdr:nvSpPr>
        <xdr:spPr bwMode="auto">
          <a:xfrm flipH="1">
            <a:off x="228463" y="34865117"/>
            <a:ext cx="1422458" cy="0"/>
          </a:xfrm>
          <a:prstGeom prst="line">
            <a:avLst/>
          </a:prstGeom>
          <a:noFill/>
          <a:ln w="9525">
            <a:solidFill>
              <a:srgbClr val="000000"/>
            </a:solidFill>
            <a:round/>
            <a:headEnd/>
            <a:tailEnd/>
          </a:ln>
        </xdr:spPr>
      </xdr:sp>
      <xdr:grpSp>
        <xdr:nvGrpSpPr>
          <xdr:cNvPr id="3748" name="Group 1194">
            <a:extLst>
              <a:ext uri="{FF2B5EF4-FFF2-40B4-BE49-F238E27FC236}">
                <a16:creationId xmlns:a16="http://schemas.microsoft.com/office/drawing/2014/main" id="{00000000-0008-0000-0000-0000A40E0000}"/>
              </a:ext>
            </a:extLst>
          </xdr:cNvPr>
          <xdr:cNvGrpSpPr>
            <a:grpSpLocks/>
          </xdr:cNvGrpSpPr>
        </xdr:nvGrpSpPr>
        <xdr:grpSpPr bwMode="auto">
          <a:xfrm>
            <a:off x="1016155" y="34644372"/>
            <a:ext cx="940883" cy="622914"/>
            <a:chOff x="866775" y="32327850"/>
            <a:chExt cx="952499" cy="581025"/>
          </a:xfrm>
        </xdr:grpSpPr>
        <xdr:sp macro="" textlink="">
          <xdr:nvSpPr>
            <xdr:cNvPr id="1196" name="Right Brace 1195">
              <a:extLst>
                <a:ext uri="{FF2B5EF4-FFF2-40B4-BE49-F238E27FC236}">
                  <a16:creationId xmlns:a16="http://schemas.microsoft.com/office/drawing/2014/main" id="{00000000-0008-0000-0000-0000AC040000}"/>
                </a:ext>
              </a:extLst>
            </xdr:cNvPr>
            <xdr:cNvSpPr/>
          </xdr:nvSpPr>
          <xdr:spPr>
            <a:xfrm rot="5400000">
              <a:off x="957879" y="32236494"/>
              <a:ext cx="232877" cy="413055"/>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a:off x="915819" y="32532590"/>
              <a:ext cx="902958" cy="37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Σ</a:t>
              </a:r>
              <a:r>
                <a:rPr lang="en-US" sz="1100"/>
                <a:t> V - W'</a:t>
              </a:r>
              <a:endParaRPr lang="en-IN" sz="1100"/>
            </a:p>
          </xdr:txBody>
        </xdr:sp>
      </xdr:grpSp>
      <xdr:sp macro="" textlink="">
        <xdr:nvSpPr>
          <xdr:cNvPr id="3749" name="Line 365">
            <a:extLst>
              <a:ext uri="{FF2B5EF4-FFF2-40B4-BE49-F238E27FC236}">
                <a16:creationId xmlns:a16="http://schemas.microsoft.com/office/drawing/2014/main" id="{00000000-0008-0000-0000-0000A50E0000}"/>
              </a:ext>
            </a:extLst>
          </xdr:cNvPr>
          <xdr:cNvSpPr>
            <a:spLocks noChangeShapeType="1"/>
          </xdr:cNvSpPr>
        </xdr:nvSpPr>
        <xdr:spPr bwMode="auto">
          <a:xfrm flipH="1">
            <a:off x="855231" y="34579556"/>
            <a:ext cx="87456" cy="0"/>
          </a:xfrm>
          <a:prstGeom prst="line">
            <a:avLst/>
          </a:prstGeom>
          <a:noFill/>
          <a:ln w="9525">
            <a:solidFill>
              <a:srgbClr val="000000"/>
            </a:solidFill>
            <a:round/>
            <a:headEnd/>
            <a:tailEnd type="arrow" w="sm" len="sm"/>
          </a:ln>
        </xdr:spPr>
      </xdr:sp>
      <xdr:sp macro="" textlink="">
        <xdr:nvSpPr>
          <xdr:cNvPr id="3750" name="Line 438">
            <a:extLst>
              <a:ext uri="{FF2B5EF4-FFF2-40B4-BE49-F238E27FC236}">
                <a16:creationId xmlns:a16="http://schemas.microsoft.com/office/drawing/2014/main" id="{00000000-0008-0000-0000-0000A60E0000}"/>
              </a:ext>
            </a:extLst>
          </xdr:cNvPr>
          <xdr:cNvSpPr>
            <a:spLocks noChangeShapeType="1"/>
          </xdr:cNvSpPr>
        </xdr:nvSpPr>
        <xdr:spPr bwMode="auto">
          <a:xfrm flipV="1">
            <a:off x="942686" y="34465256"/>
            <a:ext cx="0" cy="112279"/>
          </a:xfrm>
          <a:prstGeom prst="line">
            <a:avLst/>
          </a:prstGeom>
          <a:noFill/>
          <a:ln w="9525">
            <a:solidFill>
              <a:srgbClr val="000000"/>
            </a:solidFill>
            <a:round/>
            <a:headEnd/>
            <a:tailEnd type="triangle" w="med" len="sm"/>
          </a:ln>
        </xdr:spPr>
      </xdr:sp>
      <xdr:sp macro="" textlink="">
        <xdr:nvSpPr>
          <xdr:cNvPr id="3751" name="Line 8973">
            <a:extLst>
              <a:ext uri="{FF2B5EF4-FFF2-40B4-BE49-F238E27FC236}">
                <a16:creationId xmlns:a16="http://schemas.microsoft.com/office/drawing/2014/main" id="{00000000-0008-0000-0000-0000A70E0000}"/>
              </a:ext>
            </a:extLst>
          </xdr:cNvPr>
          <xdr:cNvSpPr>
            <a:spLocks noChangeShapeType="1"/>
          </xdr:cNvSpPr>
        </xdr:nvSpPr>
        <xdr:spPr bwMode="auto">
          <a:xfrm flipH="1">
            <a:off x="1752695" y="34291494"/>
            <a:ext cx="306346" cy="0"/>
          </a:xfrm>
          <a:prstGeom prst="line">
            <a:avLst/>
          </a:prstGeom>
          <a:noFill/>
          <a:ln w="9525">
            <a:solidFill>
              <a:srgbClr val="000000"/>
            </a:solidFill>
            <a:round/>
            <a:headEnd/>
            <a:tailEnd type="arrow" w="med" len="med"/>
          </a:ln>
        </xdr:spPr>
      </xdr:sp>
      <xdr:sp macro="" textlink="">
        <xdr:nvSpPr>
          <xdr:cNvPr id="3752" name="Line 8975">
            <a:extLst>
              <a:ext uri="{FF2B5EF4-FFF2-40B4-BE49-F238E27FC236}">
                <a16:creationId xmlns:a16="http://schemas.microsoft.com/office/drawing/2014/main" id="{00000000-0008-0000-0000-0000A80E0000}"/>
              </a:ext>
            </a:extLst>
          </xdr:cNvPr>
          <xdr:cNvSpPr>
            <a:spLocks noChangeShapeType="1"/>
          </xdr:cNvSpPr>
        </xdr:nvSpPr>
        <xdr:spPr bwMode="auto">
          <a:xfrm flipH="1">
            <a:off x="1758701" y="34400036"/>
            <a:ext cx="306346" cy="0"/>
          </a:xfrm>
          <a:prstGeom prst="line">
            <a:avLst/>
          </a:prstGeom>
          <a:noFill/>
          <a:ln w="9525">
            <a:solidFill>
              <a:srgbClr val="000000"/>
            </a:solidFill>
            <a:round/>
            <a:headEnd/>
            <a:tailEnd type="arrow" w="med" len="med"/>
          </a:ln>
        </xdr:spPr>
      </xdr:sp>
      <xdr:sp macro="" textlink="">
        <xdr:nvSpPr>
          <xdr:cNvPr id="3753" name="Line 8977">
            <a:extLst>
              <a:ext uri="{FF2B5EF4-FFF2-40B4-BE49-F238E27FC236}">
                <a16:creationId xmlns:a16="http://schemas.microsoft.com/office/drawing/2014/main" id="{00000000-0008-0000-0000-0000A90E0000}"/>
              </a:ext>
            </a:extLst>
          </xdr:cNvPr>
          <xdr:cNvSpPr>
            <a:spLocks noChangeShapeType="1"/>
          </xdr:cNvSpPr>
        </xdr:nvSpPr>
        <xdr:spPr bwMode="auto">
          <a:xfrm flipH="1">
            <a:off x="1758701" y="34508578"/>
            <a:ext cx="306346" cy="0"/>
          </a:xfrm>
          <a:prstGeom prst="line">
            <a:avLst/>
          </a:prstGeom>
          <a:noFill/>
          <a:ln w="9525">
            <a:solidFill>
              <a:srgbClr val="000000"/>
            </a:solidFill>
            <a:round/>
            <a:headEnd/>
            <a:tailEnd type="arrow" w="med" len="med"/>
          </a:ln>
        </xdr:spPr>
      </xdr:sp>
      <xdr:sp macro="" textlink="">
        <xdr:nvSpPr>
          <xdr:cNvPr id="3754" name="Line 8978">
            <a:extLst>
              <a:ext uri="{FF2B5EF4-FFF2-40B4-BE49-F238E27FC236}">
                <a16:creationId xmlns:a16="http://schemas.microsoft.com/office/drawing/2014/main" id="{00000000-0008-0000-0000-0000AA0E0000}"/>
              </a:ext>
            </a:extLst>
          </xdr:cNvPr>
          <xdr:cNvSpPr>
            <a:spLocks noChangeShapeType="1"/>
          </xdr:cNvSpPr>
        </xdr:nvSpPr>
        <xdr:spPr bwMode="auto">
          <a:xfrm flipH="1">
            <a:off x="1758701" y="34608381"/>
            <a:ext cx="306346" cy="0"/>
          </a:xfrm>
          <a:prstGeom prst="line">
            <a:avLst/>
          </a:prstGeom>
          <a:noFill/>
          <a:ln w="9525">
            <a:solidFill>
              <a:srgbClr val="000000"/>
            </a:solidFill>
            <a:round/>
            <a:headEnd/>
            <a:tailEnd type="arrow" w="med" len="med"/>
          </a:ln>
        </xdr:spPr>
      </xdr:sp>
      <xdr:sp macro="" textlink="">
        <xdr:nvSpPr>
          <xdr:cNvPr id="3755" name="Line 8980">
            <a:extLst>
              <a:ext uri="{FF2B5EF4-FFF2-40B4-BE49-F238E27FC236}">
                <a16:creationId xmlns:a16="http://schemas.microsoft.com/office/drawing/2014/main" id="{00000000-0008-0000-0000-0000AB0E0000}"/>
              </a:ext>
            </a:extLst>
          </xdr:cNvPr>
          <xdr:cNvSpPr>
            <a:spLocks noChangeShapeType="1"/>
          </xdr:cNvSpPr>
        </xdr:nvSpPr>
        <xdr:spPr bwMode="auto">
          <a:xfrm flipH="1">
            <a:off x="1758701" y="34706560"/>
            <a:ext cx="306346" cy="0"/>
          </a:xfrm>
          <a:prstGeom prst="line">
            <a:avLst/>
          </a:prstGeom>
          <a:noFill/>
          <a:ln w="9525">
            <a:solidFill>
              <a:srgbClr val="000000"/>
            </a:solidFill>
            <a:round/>
            <a:headEnd/>
            <a:tailEnd type="arrow" w="med" len="med"/>
          </a:ln>
        </xdr:spPr>
      </xdr:sp>
      <xdr:sp macro="" textlink="">
        <xdr:nvSpPr>
          <xdr:cNvPr id="3756" name="Line 8982">
            <a:extLst>
              <a:ext uri="{FF2B5EF4-FFF2-40B4-BE49-F238E27FC236}">
                <a16:creationId xmlns:a16="http://schemas.microsoft.com/office/drawing/2014/main" id="{00000000-0008-0000-0000-0000AC0E0000}"/>
              </a:ext>
            </a:extLst>
          </xdr:cNvPr>
          <xdr:cNvSpPr>
            <a:spLocks noChangeShapeType="1"/>
          </xdr:cNvSpPr>
        </xdr:nvSpPr>
        <xdr:spPr bwMode="auto">
          <a:xfrm flipH="1">
            <a:off x="1764708" y="34815102"/>
            <a:ext cx="306346" cy="0"/>
          </a:xfrm>
          <a:prstGeom prst="line">
            <a:avLst/>
          </a:prstGeom>
          <a:noFill/>
          <a:ln w="9525">
            <a:solidFill>
              <a:srgbClr val="000000"/>
            </a:solidFill>
            <a:round/>
            <a:headEnd/>
            <a:tailEnd type="arrow" w="med" len="med"/>
          </a:ln>
        </xdr:spPr>
      </xdr:sp>
      <xdr:sp macro="" textlink="">
        <xdr:nvSpPr>
          <xdr:cNvPr id="3757" name="Line 8984">
            <a:extLst>
              <a:ext uri="{FF2B5EF4-FFF2-40B4-BE49-F238E27FC236}">
                <a16:creationId xmlns:a16="http://schemas.microsoft.com/office/drawing/2014/main" id="{00000000-0008-0000-0000-0000AD0E0000}"/>
              </a:ext>
            </a:extLst>
          </xdr:cNvPr>
          <xdr:cNvSpPr>
            <a:spLocks noChangeShapeType="1"/>
          </xdr:cNvSpPr>
        </xdr:nvSpPr>
        <xdr:spPr bwMode="auto">
          <a:xfrm flipH="1">
            <a:off x="1758701" y="34930645"/>
            <a:ext cx="306346" cy="0"/>
          </a:xfrm>
          <a:prstGeom prst="line">
            <a:avLst/>
          </a:prstGeom>
          <a:noFill/>
          <a:ln w="9525">
            <a:solidFill>
              <a:srgbClr val="000000"/>
            </a:solidFill>
            <a:round/>
            <a:headEnd/>
            <a:tailEnd type="arrow" w="med" len="med"/>
          </a:ln>
        </xdr:spPr>
      </xdr:sp>
      <xdr:sp macro="" textlink="">
        <xdr:nvSpPr>
          <xdr:cNvPr id="3758" name="Line 8973">
            <a:extLst>
              <a:ext uri="{FF2B5EF4-FFF2-40B4-BE49-F238E27FC236}">
                <a16:creationId xmlns:a16="http://schemas.microsoft.com/office/drawing/2014/main" id="{00000000-0008-0000-0000-0000AE0E0000}"/>
              </a:ext>
            </a:extLst>
          </xdr:cNvPr>
          <xdr:cNvSpPr>
            <a:spLocks noChangeShapeType="1"/>
          </xdr:cNvSpPr>
        </xdr:nvSpPr>
        <xdr:spPr bwMode="auto">
          <a:xfrm flipH="1">
            <a:off x="1752695" y="35046752"/>
            <a:ext cx="306346" cy="0"/>
          </a:xfrm>
          <a:prstGeom prst="line">
            <a:avLst/>
          </a:prstGeom>
          <a:noFill/>
          <a:ln w="9525">
            <a:solidFill>
              <a:srgbClr val="000000"/>
            </a:solidFill>
            <a:round/>
            <a:headEnd/>
            <a:tailEnd type="arrow" w="med" len="med"/>
          </a:ln>
        </xdr:spPr>
      </xdr:sp>
      <xdr:sp macro="" textlink="">
        <xdr:nvSpPr>
          <xdr:cNvPr id="3759" name="Line 8975">
            <a:extLst>
              <a:ext uri="{FF2B5EF4-FFF2-40B4-BE49-F238E27FC236}">
                <a16:creationId xmlns:a16="http://schemas.microsoft.com/office/drawing/2014/main" id="{00000000-0008-0000-0000-0000AF0E0000}"/>
              </a:ext>
            </a:extLst>
          </xdr:cNvPr>
          <xdr:cNvSpPr>
            <a:spLocks noChangeShapeType="1"/>
          </xdr:cNvSpPr>
        </xdr:nvSpPr>
        <xdr:spPr bwMode="auto">
          <a:xfrm flipH="1">
            <a:off x="1758701" y="35155294"/>
            <a:ext cx="306346" cy="0"/>
          </a:xfrm>
          <a:prstGeom prst="line">
            <a:avLst/>
          </a:prstGeom>
          <a:noFill/>
          <a:ln w="9525">
            <a:solidFill>
              <a:srgbClr val="000000"/>
            </a:solidFill>
            <a:round/>
            <a:headEnd/>
            <a:tailEnd type="arrow" w="med" len="med"/>
          </a:ln>
        </xdr:spPr>
      </xdr:sp>
      <xdr:sp macro="" textlink="">
        <xdr:nvSpPr>
          <xdr:cNvPr id="3760" name="Line 8977">
            <a:extLst>
              <a:ext uri="{FF2B5EF4-FFF2-40B4-BE49-F238E27FC236}">
                <a16:creationId xmlns:a16="http://schemas.microsoft.com/office/drawing/2014/main" id="{00000000-0008-0000-0000-0000B00E0000}"/>
              </a:ext>
            </a:extLst>
          </xdr:cNvPr>
          <xdr:cNvSpPr>
            <a:spLocks noChangeShapeType="1"/>
          </xdr:cNvSpPr>
        </xdr:nvSpPr>
        <xdr:spPr bwMode="auto">
          <a:xfrm flipH="1">
            <a:off x="1758701" y="35263836"/>
            <a:ext cx="306346" cy="0"/>
          </a:xfrm>
          <a:prstGeom prst="line">
            <a:avLst/>
          </a:prstGeom>
          <a:noFill/>
          <a:ln w="9525">
            <a:solidFill>
              <a:srgbClr val="000000"/>
            </a:solidFill>
            <a:round/>
            <a:headEnd/>
            <a:tailEnd type="arrow" w="med" len="med"/>
          </a:ln>
        </xdr:spPr>
      </xdr:sp>
      <xdr:sp macro="" textlink="">
        <xdr:nvSpPr>
          <xdr:cNvPr id="3761" name="Line 8978">
            <a:extLst>
              <a:ext uri="{FF2B5EF4-FFF2-40B4-BE49-F238E27FC236}">
                <a16:creationId xmlns:a16="http://schemas.microsoft.com/office/drawing/2014/main" id="{00000000-0008-0000-0000-0000B10E0000}"/>
              </a:ext>
            </a:extLst>
          </xdr:cNvPr>
          <xdr:cNvSpPr>
            <a:spLocks noChangeShapeType="1"/>
          </xdr:cNvSpPr>
        </xdr:nvSpPr>
        <xdr:spPr bwMode="auto">
          <a:xfrm flipH="1">
            <a:off x="1758701" y="35363639"/>
            <a:ext cx="306346" cy="0"/>
          </a:xfrm>
          <a:prstGeom prst="line">
            <a:avLst/>
          </a:prstGeom>
          <a:noFill/>
          <a:ln w="9525">
            <a:solidFill>
              <a:srgbClr val="000000"/>
            </a:solidFill>
            <a:round/>
            <a:headEnd/>
            <a:tailEnd type="arrow" w="med" len="med"/>
          </a:ln>
        </xdr:spPr>
      </xdr:sp>
      <xdr:sp macro="" textlink="">
        <xdr:nvSpPr>
          <xdr:cNvPr id="3762" name="Line 8980">
            <a:extLst>
              <a:ext uri="{FF2B5EF4-FFF2-40B4-BE49-F238E27FC236}">
                <a16:creationId xmlns:a16="http://schemas.microsoft.com/office/drawing/2014/main" id="{00000000-0008-0000-0000-0000B20E0000}"/>
              </a:ext>
            </a:extLst>
          </xdr:cNvPr>
          <xdr:cNvSpPr>
            <a:spLocks noChangeShapeType="1"/>
          </xdr:cNvSpPr>
        </xdr:nvSpPr>
        <xdr:spPr bwMode="auto">
          <a:xfrm flipH="1">
            <a:off x="1758701" y="35461818"/>
            <a:ext cx="306346" cy="0"/>
          </a:xfrm>
          <a:prstGeom prst="line">
            <a:avLst/>
          </a:prstGeom>
          <a:noFill/>
          <a:ln w="9525">
            <a:solidFill>
              <a:srgbClr val="000000"/>
            </a:solidFill>
            <a:round/>
            <a:headEnd/>
            <a:tailEnd type="arrow" w="med" len="med"/>
          </a:ln>
        </xdr:spPr>
      </xdr:sp>
      <xdr:sp macro="" textlink="">
        <xdr:nvSpPr>
          <xdr:cNvPr id="3763" name="Line 8987">
            <a:extLst>
              <a:ext uri="{FF2B5EF4-FFF2-40B4-BE49-F238E27FC236}">
                <a16:creationId xmlns:a16="http://schemas.microsoft.com/office/drawing/2014/main" id="{00000000-0008-0000-0000-0000B30E0000}"/>
              </a:ext>
            </a:extLst>
          </xdr:cNvPr>
          <xdr:cNvSpPr>
            <a:spLocks noChangeShapeType="1"/>
          </xdr:cNvSpPr>
        </xdr:nvSpPr>
        <xdr:spPr bwMode="auto">
          <a:xfrm flipH="1">
            <a:off x="3372773" y="34681782"/>
            <a:ext cx="133213" cy="0"/>
          </a:xfrm>
          <a:prstGeom prst="line">
            <a:avLst/>
          </a:prstGeom>
          <a:noFill/>
          <a:ln w="9525">
            <a:solidFill>
              <a:srgbClr val="000000"/>
            </a:solidFill>
            <a:round/>
            <a:headEnd/>
            <a:tailEnd type="arrow" w="med" len="med"/>
          </a:ln>
        </xdr:spPr>
      </xdr:sp>
      <xdr:sp macro="" textlink="">
        <xdr:nvSpPr>
          <xdr:cNvPr id="3764" name="Line 8988">
            <a:extLst>
              <a:ext uri="{FF2B5EF4-FFF2-40B4-BE49-F238E27FC236}">
                <a16:creationId xmlns:a16="http://schemas.microsoft.com/office/drawing/2014/main" id="{00000000-0008-0000-0000-0000B40E0000}"/>
              </a:ext>
            </a:extLst>
          </xdr:cNvPr>
          <xdr:cNvSpPr>
            <a:spLocks noChangeShapeType="1"/>
          </xdr:cNvSpPr>
        </xdr:nvSpPr>
        <xdr:spPr bwMode="auto">
          <a:xfrm flipH="1">
            <a:off x="3320377" y="34580764"/>
            <a:ext cx="174202" cy="0"/>
          </a:xfrm>
          <a:prstGeom prst="line">
            <a:avLst/>
          </a:prstGeom>
          <a:noFill/>
          <a:ln w="9525">
            <a:solidFill>
              <a:srgbClr val="000000"/>
            </a:solidFill>
            <a:round/>
            <a:headEnd/>
            <a:tailEnd type="arrow" w="med" len="med"/>
          </a:ln>
        </xdr:spPr>
      </xdr:sp>
      <xdr:sp macro="" textlink="">
        <xdr:nvSpPr>
          <xdr:cNvPr id="3765" name="Line 8990">
            <a:extLst>
              <a:ext uri="{FF2B5EF4-FFF2-40B4-BE49-F238E27FC236}">
                <a16:creationId xmlns:a16="http://schemas.microsoft.com/office/drawing/2014/main" id="{00000000-0008-0000-0000-0000B50E0000}"/>
              </a:ext>
            </a:extLst>
          </xdr:cNvPr>
          <xdr:cNvSpPr>
            <a:spLocks noChangeShapeType="1"/>
          </xdr:cNvSpPr>
        </xdr:nvSpPr>
        <xdr:spPr bwMode="auto">
          <a:xfrm flipH="1">
            <a:off x="3254639" y="34467344"/>
            <a:ext cx="261303" cy="0"/>
          </a:xfrm>
          <a:prstGeom prst="line">
            <a:avLst/>
          </a:prstGeom>
          <a:noFill/>
          <a:ln w="9525">
            <a:solidFill>
              <a:srgbClr val="000000"/>
            </a:solidFill>
            <a:round/>
            <a:headEnd/>
            <a:tailEnd type="arrow" w="med" len="med"/>
          </a:ln>
        </xdr:spPr>
      </xdr:sp>
      <xdr:sp macro="" textlink="">
        <xdr:nvSpPr>
          <xdr:cNvPr id="3766" name="Line 8992">
            <a:extLst>
              <a:ext uri="{FF2B5EF4-FFF2-40B4-BE49-F238E27FC236}">
                <a16:creationId xmlns:a16="http://schemas.microsoft.com/office/drawing/2014/main" id="{00000000-0008-0000-0000-0000B60E0000}"/>
              </a:ext>
            </a:extLst>
          </xdr:cNvPr>
          <xdr:cNvSpPr>
            <a:spLocks noChangeShapeType="1"/>
          </xdr:cNvSpPr>
        </xdr:nvSpPr>
        <xdr:spPr bwMode="auto">
          <a:xfrm flipH="1">
            <a:off x="3172469" y="34356940"/>
            <a:ext cx="358651" cy="0"/>
          </a:xfrm>
          <a:prstGeom prst="line">
            <a:avLst/>
          </a:prstGeom>
          <a:noFill/>
          <a:ln w="9525">
            <a:solidFill>
              <a:srgbClr val="000000"/>
            </a:solidFill>
            <a:round/>
            <a:headEnd/>
            <a:tailEnd type="arrow" w="med" len="med"/>
          </a:ln>
        </xdr:spPr>
      </xdr:sp>
      <xdr:sp macro="" textlink="">
        <xdr:nvSpPr>
          <xdr:cNvPr id="3767" name="Line 8993">
            <a:extLst>
              <a:ext uri="{FF2B5EF4-FFF2-40B4-BE49-F238E27FC236}">
                <a16:creationId xmlns:a16="http://schemas.microsoft.com/office/drawing/2014/main" id="{00000000-0008-0000-0000-0000B70E0000}"/>
              </a:ext>
            </a:extLst>
          </xdr:cNvPr>
          <xdr:cNvSpPr>
            <a:spLocks noChangeShapeType="1"/>
          </xdr:cNvSpPr>
        </xdr:nvSpPr>
        <xdr:spPr bwMode="auto">
          <a:xfrm flipH="1">
            <a:off x="3124358" y="34263330"/>
            <a:ext cx="394516" cy="0"/>
          </a:xfrm>
          <a:prstGeom prst="line">
            <a:avLst/>
          </a:prstGeom>
          <a:noFill/>
          <a:ln w="9525">
            <a:solidFill>
              <a:srgbClr val="000000"/>
            </a:solidFill>
            <a:round/>
            <a:headEnd/>
            <a:tailEnd type="arrow" w="med" len="med"/>
          </a:ln>
        </xdr:spPr>
      </xdr:sp>
      <xdr:sp macro="" textlink="">
        <xdr:nvSpPr>
          <xdr:cNvPr id="3768" name="Line 8973">
            <a:extLst>
              <a:ext uri="{FF2B5EF4-FFF2-40B4-BE49-F238E27FC236}">
                <a16:creationId xmlns:a16="http://schemas.microsoft.com/office/drawing/2014/main" id="{00000000-0008-0000-0000-0000B80E0000}"/>
              </a:ext>
            </a:extLst>
          </xdr:cNvPr>
          <xdr:cNvSpPr>
            <a:spLocks noChangeShapeType="1"/>
          </xdr:cNvSpPr>
        </xdr:nvSpPr>
        <xdr:spPr bwMode="auto">
          <a:xfrm flipH="1">
            <a:off x="2637126" y="34253742"/>
            <a:ext cx="306346" cy="0"/>
          </a:xfrm>
          <a:prstGeom prst="line">
            <a:avLst/>
          </a:prstGeom>
          <a:noFill/>
          <a:ln w="9525">
            <a:solidFill>
              <a:srgbClr val="000000"/>
            </a:solidFill>
            <a:round/>
            <a:headEnd/>
            <a:tailEnd type="arrow" w="med" len="med"/>
          </a:ln>
        </xdr:spPr>
      </xdr:sp>
      <xdr:sp macro="" textlink="">
        <xdr:nvSpPr>
          <xdr:cNvPr id="3769" name="Line 8975">
            <a:extLst>
              <a:ext uri="{FF2B5EF4-FFF2-40B4-BE49-F238E27FC236}">
                <a16:creationId xmlns:a16="http://schemas.microsoft.com/office/drawing/2014/main" id="{00000000-0008-0000-0000-0000B90E0000}"/>
              </a:ext>
            </a:extLst>
          </xdr:cNvPr>
          <xdr:cNvSpPr>
            <a:spLocks noChangeShapeType="1"/>
          </xdr:cNvSpPr>
        </xdr:nvSpPr>
        <xdr:spPr bwMode="auto">
          <a:xfrm flipH="1">
            <a:off x="2633723" y="34370847"/>
            <a:ext cx="306346" cy="0"/>
          </a:xfrm>
          <a:prstGeom prst="line">
            <a:avLst/>
          </a:prstGeom>
          <a:noFill/>
          <a:ln w="9525">
            <a:solidFill>
              <a:srgbClr val="000000"/>
            </a:solidFill>
            <a:round/>
            <a:headEnd/>
            <a:tailEnd type="arrow" w="med" len="med"/>
          </a:ln>
        </xdr:spPr>
      </xdr:sp>
      <xdr:sp macro="" textlink="">
        <xdr:nvSpPr>
          <xdr:cNvPr id="3770" name="Line 8977">
            <a:extLst>
              <a:ext uri="{FF2B5EF4-FFF2-40B4-BE49-F238E27FC236}">
                <a16:creationId xmlns:a16="http://schemas.microsoft.com/office/drawing/2014/main" id="{00000000-0008-0000-0000-0000BA0E0000}"/>
              </a:ext>
            </a:extLst>
          </xdr:cNvPr>
          <xdr:cNvSpPr>
            <a:spLocks noChangeShapeType="1"/>
          </xdr:cNvSpPr>
        </xdr:nvSpPr>
        <xdr:spPr bwMode="auto">
          <a:xfrm flipH="1">
            <a:off x="2643132" y="34478513"/>
            <a:ext cx="306346" cy="0"/>
          </a:xfrm>
          <a:prstGeom prst="line">
            <a:avLst/>
          </a:prstGeom>
          <a:noFill/>
          <a:ln w="9525">
            <a:solidFill>
              <a:srgbClr val="000000"/>
            </a:solidFill>
            <a:round/>
            <a:headEnd/>
            <a:tailEnd type="arrow" w="med" len="med"/>
          </a:ln>
        </xdr:spPr>
      </xdr:sp>
      <xdr:sp macro="" textlink="">
        <xdr:nvSpPr>
          <xdr:cNvPr id="3771" name="Line 8978">
            <a:extLst>
              <a:ext uri="{FF2B5EF4-FFF2-40B4-BE49-F238E27FC236}">
                <a16:creationId xmlns:a16="http://schemas.microsoft.com/office/drawing/2014/main" id="{00000000-0008-0000-0000-0000BB0E0000}"/>
              </a:ext>
            </a:extLst>
          </xdr:cNvPr>
          <xdr:cNvSpPr>
            <a:spLocks noChangeShapeType="1"/>
          </xdr:cNvSpPr>
        </xdr:nvSpPr>
        <xdr:spPr bwMode="auto">
          <a:xfrm flipH="1">
            <a:off x="2643132" y="34586950"/>
            <a:ext cx="306346" cy="0"/>
          </a:xfrm>
          <a:prstGeom prst="line">
            <a:avLst/>
          </a:prstGeom>
          <a:noFill/>
          <a:ln w="9525">
            <a:solidFill>
              <a:srgbClr val="000000"/>
            </a:solidFill>
            <a:round/>
            <a:headEnd/>
            <a:tailEnd type="arrow" w="med" len="med"/>
          </a:ln>
        </xdr:spPr>
      </xdr:sp>
      <xdr:sp macro="" textlink="">
        <xdr:nvSpPr>
          <xdr:cNvPr id="3772" name="Line 8980">
            <a:extLst>
              <a:ext uri="{FF2B5EF4-FFF2-40B4-BE49-F238E27FC236}">
                <a16:creationId xmlns:a16="http://schemas.microsoft.com/office/drawing/2014/main" id="{00000000-0008-0000-0000-0000BC0E0000}"/>
              </a:ext>
            </a:extLst>
          </xdr:cNvPr>
          <xdr:cNvSpPr>
            <a:spLocks noChangeShapeType="1"/>
          </xdr:cNvSpPr>
        </xdr:nvSpPr>
        <xdr:spPr bwMode="auto">
          <a:xfrm flipH="1">
            <a:off x="2643132" y="34693775"/>
            <a:ext cx="306346" cy="0"/>
          </a:xfrm>
          <a:prstGeom prst="line">
            <a:avLst/>
          </a:prstGeom>
          <a:noFill/>
          <a:ln w="9525">
            <a:solidFill>
              <a:srgbClr val="000000"/>
            </a:solidFill>
            <a:round/>
            <a:headEnd/>
            <a:tailEnd type="arrow" w="med" len="med"/>
          </a:ln>
        </xdr:spPr>
      </xdr:sp>
      <xdr:sp macro="" textlink="">
        <xdr:nvSpPr>
          <xdr:cNvPr id="3773" name="Line 8982">
            <a:extLst>
              <a:ext uri="{FF2B5EF4-FFF2-40B4-BE49-F238E27FC236}">
                <a16:creationId xmlns:a16="http://schemas.microsoft.com/office/drawing/2014/main" id="{00000000-0008-0000-0000-0000BD0E0000}"/>
              </a:ext>
            </a:extLst>
          </xdr:cNvPr>
          <xdr:cNvSpPr>
            <a:spLocks noChangeShapeType="1"/>
          </xdr:cNvSpPr>
        </xdr:nvSpPr>
        <xdr:spPr bwMode="auto">
          <a:xfrm flipH="1">
            <a:off x="2649139" y="34820318"/>
            <a:ext cx="306346" cy="0"/>
          </a:xfrm>
          <a:prstGeom prst="line">
            <a:avLst/>
          </a:prstGeom>
          <a:noFill/>
          <a:ln w="9525">
            <a:solidFill>
              <a:srgbClr val="000000"/>
            </a:solidFill>
            <a:round/>
            <a:headEnd/>
            <a:tailEnd type="arrow" w="med" len="med"/>
          </a:ln>
        </xdr:spPr>
      </xdr:sp>
      <xdr:sp macro="" textlink="">
        <xdr:nvSpPr>
          <xdr:cNvPr id="3774" name="Line 8987">
            <a:extLst>
              <a:ext uri="{FF2B5EF4-FFF2-40B4-BE49-F238E27FC236}">
                <a16:creationId xmlns:a16="http://schemas.microsoft.com/office/drawing/2014/main" id="{00000000-0008-0000-0000-0000BE0E0000}"/>
              </a:ext>
            </a:extLst>
          </xdr:cNvPr>
          <xdr:cNvSpPr>
            <a:spLocks noChangeShapeType="1"/>
          </xdr:cNvSpPr>
        </xdr:nvSpPr>
        <xdr:spPr bwMode="auto">
          <a:xfrm flipH="1">
            <a:off x="2166684" y="34338946"/>
            <a:ext cx="133213" cy="0"/>
          </a:xfrm>
          <a:prstGeom prst="line">
            <a:avLst/>
          </a:prstGeom>
          <a:noFill/>
          <a:ln w="9525">
            <a:solidFill>
              <a:srgbClr val="000000"/>
            </a:solidFill>
            <a:round/>
            <a:headEnd/>
            <a:tailEnd type="arrow" w="med" len="med"/>
          </a:ln>
        </xdr:spPr>
      </xdr:sp>
      <xdr:sp macro="" textlink="">
        <xdr:nvSpPr>
          <xdr:cNvPr id="3775" name="Line 8988">
            <a:extLst>
              <a:ext uri="{FF2B5EF4-FFF2-40B4-BE49-F238E27FC236}">
                <a16:creationId xmlns:a16="http://schemas.microsoft.com/office/drawing/2014/main" id="{00000000-0008-0000-0000-0000BF0E0000}"/>
              </a:ext>
            </a:extLst>
          </xdr:cNvPr>
          <xdr:cNvSpPr>
            <a:spLocks noChangeShapeType="1"/>
          </xdr:cNvSpPr>
        </xdr:nvSpPr>
        <xdr:spPr bwMode="auto">
          <a:xfrm flipH="1">
            <a:off x="2171808" y="34474031"/>
            <a:ext cx="174202" cy="0"/>
          </a:xfrm>
          <a:prstGeom prst="line">
            <a:avLst/>
          </a:prstGeom>
          <a:noFill/>
          <a:ln w="9525">
            <a:solidFill>
              <a:srgbClr val="000000"/>
            </a:solidFill>
            <a:round/>
            <a:headEnd/>
            <a:tailEnd type="arrow" w="med" len="med"/>
          </a:ln>
        </xdr:spPr>
      </xdr:sp>
      <xdr:sp macro="" textlink="">
        <xdr:nvSpPr>
          <xdr:cNvPr id="3776" name="Line 8990">
            <a:extLst>
              <a:ext uri="{FF2B5EF4-FFF2-40B4-BE49-F238E27FC236}">
                <a16:creationId xmlns:a16="http://schemas.microsoft.com/office/drawing/2014/main" id="{00000000-0008-0000-0000-0000C00E0000}"/>
              </a:ext>
            </a:extLst>
          </xdr:cNvPr>
          <xdr:cNvSpPr>
            <a:spLocks noChangeShapeType="1"/>
          </xdr:cNvSpPr>
        </xdr:nvSpPr>
        <xdr:spPr bwMode="auto">
          <a:xfrm flipH="1">
            <a:off x="2171808" y="34630630"/>
            <a:ext cx="261303" cy="0"/>
          </a:xfrm>
          <a:prstGeom prst="line">
            <a:avLst/>
          </a:prstGeom>
          <a:noFill/>
          <a:ln w="9525">
            <a:solidFill>
              <a:srgbClr val="000000"/>
            </a:solidFill>
            <a:round/>
            <a:headEnd/>
            <a:tailEnd type="arrow" w="med" len="med"/>
          </a:ln>
        </xdr:spPr>
      </xdr:sp>
      <xdr:sp macro="" textlink="">
        <xdr:nvSpPr>
          <xdr:cNvPr id="3777" name="Line 8992">
            <a:extLst>
              <a:ext uri="{FF2B5EF4-FFF2-40B4-BE49-F238E27FC236}">
                <a16:creationId xmlns:a16="http://schemas.microsoft.com/office/drawing/2014/main" id="{00000000-0008-0000-0000-0000C10E0000}"/>
              </a:ext>
            </a:extLst>
          </xdr:cNvPr>
          <xdr:cNvSpPr>
            <a:spLocks noChangeShapeType="1"/>
          </xdr:cNvSpPr>
        </xdr:nvSpPr>
        <xdr:spPr bwMode="auto">
          <a:xfrm flipH="1">
            <a:off x="2171808" y="34820178"/>
            <a:ext cx="358651" cy="0"/>
          </a:xfrm>
          <a:prstGeom prst="line">
            <a:avLst/>
          </a:prstGeom>
          <a:noFill/>
          <a:ln w="9525">
            <a:solidFill>
              <a:srgbClr val="000000"/>
            </a:solidFill>
            <a:round/>
            <a:headEnd/>
            <a:tailEnd type="arrow" w="med" len="med"/>
          </a:ln>
        </xdr:spPr>
      </xdr:sp>
      <xdr:sp macro="" textlink="">
        <xdr:nvSpPr>
          <xdr:cNvPr id="3778" name="Line 8993">
            <a:extLst>
              <a:ext uri="{FF2B5EF4-FFF2-40B4-BE49-F238E27FC236}">
                <a16:creationId xmlns:a16="http://schemas.microsoft.com/office/drawing/2014/main" id="{00000000-0008-0000-0000-0000C20E0000}"/>
              </a:ext>
            </a:extLst>
          </xdr:cNvPr>
          <xdr:cNvSpPr>
            <a:spLocks noChangeShapeType="1"/>
          </xdr:cNvSpPr>
        </xdr:nvSpPr>
        <xdr:spPr bwMode="auto">
          <a:xfrm flipH="1">
            <a:off x="2209774" y="35036015"/>
            <a:ext cx="394516" cy="0"/>
          </a:xfrm>
          <a:prstGeom prst="line">
            <a:avLst/>
          </a:prstGeom>
          <a:noFill/>
          <a:ln w="9525">
            <a:solidFill>
              <a:srgbClr val="000000"/>
            </a:solidFill>
            <a:round/>
            <a:headEnd/>
            <a:tailEnd type="arrow" w="med" len="med"/>
          </a:ln>
        </xdr:spPr>
      </xdr:sp>
      <xdr:sp macro="" textlink="">
        <xdr:nvSpPr>
          <xdr:cNvPr id="3779" name="Line 8995">
            <a:extLst>
              <a:ext uri="{FF2B5EF4-FFF2-40B4-BE49-F238E27FC236}">
                <a16:creationId xmlns:a16="http://schemas.microsoft.com/office/drawing/2014/main" id="{00000000-0008-0000-0000-0000C30E0000}"/>
              </a:ext>
            </a:extLst>
          </xdr:cNvPr>
          <xdr:cNvSpPr>
            <a:spLocks noChangeShapeType="1"/>
          </xdr:cNvSpPr>
        </xdr:nvSpPr>
        <xdr:spPr bwMode="auto">
          <a:xfrm flipH="1">
            <a:off x="2214896" y="35241649"/>
            <a:ext cx="502112" cy="0"/>
          </a:xfrm>
          <a:prstGeom prst="line">
            <a:avLst/>
          </a:prstGeom>
          <a:noFill/>
          <a:ln w="9525">
            <a:solidFill>
              <a:srgbClr val="000000"/>
            </a:solidFill>
            <a:round/>
            <a:headEnd/>
            <a:tailEnd type="arrow" w="med" len="med"/>
          </a:ln>
        </xdr:spPr>
      </xdr:sp>
      <xdr:sp macro="" textlink="">
        <xdr:nvSpPr>
          <xdr:cNvPr id="3780" name="Line 8997">
            <a:extLst>
              <a:ext uri="{FF2B5EF4-FFF2-40B4-BE49-F238E27FC236}">
                <a16:creationId xmlns:a16="http://schemas.microsoft.com/office/drawing/2014/main" id="{00000000-0008-0000-0000-0000C40E0000}"/>
              </a:ext>
            </a:extLst>
          </xdr:cNvPr>
          <xdr:cNvSpPr>
            <a:spLocks noChangeShapeType="1"/>
          </xdr:cNvSpPr>
        </xdr:nvSpPr>
        <xdr:spPr bwMode="auto">
          <a:xfrm flipH="1">
            <a:off x="2200283" y="35474924"/>
            <a:ext cx="599460" cy="0"/>
          </a:xfrm>
          <a:prstGeom prst="line">
            <a:avLst/>
          </a:prstGeom>
          <a:noFill/>
          <a:ln w="9525">
            <a:solidFill>
              <a:srgbClr val="000000"/>
            </a:solidFill>
            <a:round/>
            <a:headEnd/>
            <a:tailEnd type="arrow" w="med" len="med"/>
          </a:ln>
        </xdr:spPr>
      </xdr:sp>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a:off x="49301" y="35584064"/>
            <a:ext cx="3045900" cy="288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900"/>
              <a:t>Σ</a:t>
            </a:r>
            <a:r>
              <a:rPr lang="en-US" sz="900"/>
              <a:t> H = P (Surcharge)</a:t>
            </a:r>
            <a:r>
              <a:rPr lang="en-US" sz="900" baseline="0"/>
              <a:t> + P (Soil) + P (inc. Surcharge) + P (inc. Soil) </a:t>
            </a:r>
            <a:endParaRPr lang="en-IN" sz="900"/>
          </a:p>
        </xdr:txBody>
      </xdr:sp>
      <xdr:sp macro="" textlink="">
        <xdr:nvSpPr>
          <xdr:cNvPr id="1248" name="Text Box 555">
            <a:extLst>
              <a:ext uri="{FF2B5EF4-FFF2-40B4-BE49-F238E27FC236}">
                <a16:creationId xmlns:a16="http://schemas.microsoft.com/office/drawing/2014/main" id="{00000000-0008-0000-0000-0000E0040000}"/>
              </a:ext>
            </a:extLst>
          </xdr:cNvPr>
          <xdr:cNvSpPr txBox="1">
            <a:spLocks noChangeArrowheads="1"/>
          </xdr:cNvSpPr>
        </xdr:nvSpPr>
        <xdr:spPr bwMode="auto">
          <a:xfrm>
            <a:off x="3076223" y="35392013"/>
            <a:ext cx="1110188" cy="201653"/>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µ x ∑ V / ∑ H   =</a:t>
            </a:r>
          </a:p>
        </xdr:txBody>
      </xdr:sp>
      <xdr:sp macro="" textlink="">
        <xdr:nvSpPr>
          <xdr:cNvPr id="1249" name="Text Box 556">
            <a:extLst>
              <a:ext uri="{FF2B5EF4-FFF2-40B4-BE49-F238E27FC236}">
                <a16:creationId xmlns:a16="http://schemas.microsoft.com/office/drawing/2014/main" id="{00000000-0008-0000-0000-0000E1040000}"/>
              </a:ext>
            </a:extLst>
          </xdr:cNvPr>
          <xdr:cNvSpPr txBox="1">
            <a:spLocks noChangeArrowheads="1"/>
          </xdr:cNvSpPr>
        </xdr:nvSpPr>
        <xdr:spPr bwMode="auto">
          <a:xfrm>
            <a:off x="3038268" y="35737704"/>
            <a:ext cx="1224053" cy="259269"/>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000" b="0" i="0">
                <a:latin typeface="+mn-lt"/>
                <a:ea typeface="+mn-ea"/>
                <a:cs typeface="+mn-cs"/>
              </a:rPr>
              <a:t>M</a:t>
            </a:r>
            <a:r>
              <a:rPr lang="en-US" sz="1000" b="0" i="0" baseline="-25000">
                <a:latin typeface="+mn-lt"/>
                <a:ea typeface="+mn-ea"/>
                <a:cs typeface="+mn-cs"/>
              </a:rPr>
              <a:t>s  </a:t>
            </a:r>
            <a:r>
              <a:rPr lang="en-US" sz="1000" b="0" i="0" baseline="0">
                <a:latin typeface="+mn-lt"/>
                <a:ea typeface="+mn-ea"/>
                <a:cs typeface="+mn-cs"/>
              </a:rPr>
              <a:t> / (</a:t>
            </a:r>
            <a:r>
              <a:rPr lang="en-US" sz="1100" b="0" i="0" strike="noStrike" baseline="0">
                <a:solidFill>
                  <a:srgbClr val="000000"/>
                </a:solidFill>
                <a:latin typeface="Calibri"/>
                <a:cs typeface="Calibri"/>
              </a:rPr>
              <a:t> </a:t>
            </a:r>
            <a:r>
              <a:rPr lang="en-US" sz="1100" b="0" i="0" strike="noStrike">
                <a:solidFill>
                  <a:srgbClr val="000000"/>
                </a:solidFill>
                <a:latin typeface="Calibri"/>
                <a:cs typeface="Calibri"/>
              </a:rPr>
              <a:t>M</a:t>
            </a:r>
            <a:r>
              <a:rPr lang="en-US" sz="1100" b="0" i="0" strike="noStrike" baseline="-25000">
                <a:solidFill>
                  <a:srgbClr val="000000"/>
                </a:solidFill>
                <a:latin typeface="Calibri"/>
                <a:cs typeface="Calibri"/>
              </a:rPr>
              <a:t>lls </a:t>
            </a:r>
            <a:r>
              <a:rPr lang="en-US" sz="1100" b="0" i="0" strike="noStrike">
                <a:solidFill>
                  <a:srgbClr val="000000"/>
                </a:solidFill>
                <a:latin typeface="Calibri"/>
                <a:cs typeface="Calibri"/>
              </a:rPr>
              <a:t>+ M</a:t>
            </a:r>
            <a:r>
              <a:rPr lang="en-US" sz="1100" b="0" i="0" strike="noStrike" baseline="-25000">
                <a:solidFill>
                  <a:srgbClr val="000000"/>
                </a:solidFill>
                <a:latin typeface="Calibri"/>
                <a:cs typeface="Calibri"/>
              </a:rPr>
              <a:t>sp </a:t>
            </a:r>
            <a:r>
              <a:rPr lang="en-US" sz="1100" b="0" i="0" strike="noStrike">
                <a:solidFill>
                  <a:srgbClr val="000000"/>
                </a:solidFill>
                <a:latin typeface="Calibri"/>
                <a:cs typeface="Calibri"/>
              </a:rPr>
              <a:t>) =</a:t>
            </a:r>
          </a:p>
        </xdr:txBody>
      </xdr:sp>
      <xdr:sp macro="" textlink="">
        <xdr:nvSpPr>
          <xdr:cNvPr id="1251" name="Rectangle 1250">
            <a:extLst>
              <a:ext uri="{FF2B5EF4-FFF2-40B4-BE49-F238E27FC236}">
                <a16:creationId xmlns:a16="http://schemas.microsoft.com/office/drawing/2014/main" id="{00000000-0008-0000-0000-0000E3040000}"/>
              </a:ext>
            </a:extLst>
          </xdr:cNvPr>
          <xdr:cNvSpPr/>
        </xdr:nvSpPr>
        <xdr:spPr>
          <a:xfrm>
            <a:off x="1738305" y="34239707"/>
            <a:ext cx="370063" cy="1305946"/>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sp macro="" textlink="">
        <xdr:nvSpPr>
          <xdr:cNvPr id="1252" name="Rectangle 1251">
            <a:extLst>
              <a:ext uri="{FF2B5EF4-FFF2-40B4-BE49-F238E27FC236}">
                <a16:creationId xmlns:a16="http://schemas.microsoft.com/office/drawing/2014/main" id="{00000000-0008-0000-0000-0000E4040000}"/>
              </a:ext>
            </a:extLst>
          </xdr:cNvPr>
          <xdr:cNvSpPr/>
        </xdr:nvSpPr>
        <xdr:spPr>
          <a:xfrm>
            <a:off x="2611273" y="34191694"/>
            <a:ext cx="370063" cy="729793"/>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sp macro="" textlink="">
        <xdr:nvSpPr>
          <xdr:cNvPr id="1254" name="Right Triangle 1253">
            <a:extLst>
              <a:ext uri="{FF2B5EF4-FFF2-40B4-BE49-F238E27FC236}">
                <a16:creationId xmlns:a16="http://schemas.microsoft.com/office/drawing/2014/main" id="{00000000-0008-0000-0000-0000E6040000}"/>
              </a:ext>
            </a:extLst>
          </xdr:cNvPr>
          <xdr:cNvSpPr/>
        </xdr:nvSpPr>
        <xdr:spPr>
          <a:xfrm>
            <a:off x="2193766" y="34124477"/>
            <a:ext cx="702170" cy="1411574"/>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sp macro="" textlink="">
        <xdr:nvSpPr>
          <xdr:cNvPr id="1255" name="Right Triangle 1254">
            <a:extLst>
              <a:ext uri="{FF2B5EF4-FFF2-40B4-BE49-F238E27FC236}">
                <a16:creationId xmlns:a16="http://schemas.microsoft.com/office/drawing/2014/main" id="{00000000-0008-0000-0000-0000E7040000}"/>
              </a:ext>
            </a:extLst>
          </xdr:cNvPr>
          <xdr:cNvSpPr/>
        </xdr:nvSpPr>
        <xdr:spPr>
          <a:xfrm rot="10800000">
            <a:off x="3066734" y="34191694"/>
            <a:ext cx="455462" cy="710588"/>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grpSp>
    <xdr:clientData/>
  </xdr:twoCellAnchor>
  <xdr:twoCellAnchor>
    <xdr:from>
      <xdr:col>0</xdr:col>
      <xdr:colOff>0</xdr:colOff>
      <xdr:row>231</xdr:row>
      <xdr:rowOff>91104</xdr:rowOff>
    </xdr:from>
    <xdr:to>
      <xdr:col>9</xdr:col>
      <xdr:colOff>0</xdr:colOff>
      <xdr:row>237</xdr:row>
      <xdr:rowOff>91104</xdr:rowOff>
    </xdr:to>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a:off x="0" y="35896821"/>
          <a:ext cx="553278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000" b="0" i="0" u="none" strike="noStrike">
              <a:solidFill>
                <a:schemeClr val="dk1"/>
              </a:solidFill>
              <a:latin typeface="+mn-lt"/>
              <a:ea typeface="+mn-ea"/>
              <a:cs typeface="+mn-cs"/>
            </a:rPr>
            <a:t>For Maximum</a:t>
          </a:r>
          <a:r>
            <a:rPr lang="en-IN" sz="1000" b="0" i="0" u="none" strike="noStrike" baseline="0">
              <a:solidFill>
                <a:schemeClr val="dk1"/>
              </a:solidFill>
              <a:latin typeface="+mn-lt"/>
              <a:ea typeface="+mn-ea"/>
              <a:cs typeface="+mn-cs"/>
            </a:rPr>
            <a:t> Bearing Pressure Live Load Surcharge is on the wall Edge &amp; acceleration is down. </a:t>
          </a:r>
          <a:endParaRPr lang="en-IN" sz="1000"/>
        </a:p>
      </xdr:txBody>
    </xdr:sp>
    <xdr:clientData/>
  </xdr:twoCellAnchor>
  <xdr:twoCellAnchor>
    <xdr:from>
      <xdr:col>0</xdr:col>
      <xdr:colOff>180975</xdr:colOff>
      <xdr:row>244</xdr:row>
      <xdr:rowOff>19050</xdr:rowOff>
    </xdr:from>
    <xdr:to>
      <xdr:col>1</xdr:col>
      <xdr:colOff>161925</xdr:colOff>
      <xdr:row>244</xdr:row>
      <xdr:rowOff>152400</xdr:rowOff>
    </xdr:to>
    <xdr:sp macro="" textlink="">
      <xdr:nvSpPr>
        <xdr:cNvPr id="3098" name="Line 279">
          <a:extLst>
            <a:ext uri="{FF2B5EF4-FFF2-40B4-BE49-F238E27FC236}">
              <a16:creationId xmlns:a16="http://schemas.microsoft.com/office/drawing/2014/main" id="{00000000-0008-0000-0000-00001A0C0000}"/>
            </a:ext>
          </a:extLst>
        </xdr:cNvPr>
        <xdr:cNvSpPr>
          <a:spLocks noChangeShapeType="1"/>
        </xdr:cNvSpPr>
      </xdr:nvSpPr>
      <xdr:spPr bwMode="auto">
        <a:xfrm flipH="1">
          <a:off x="180975" y="39319200"/>
          <a:ext cx="590550" cy="133350"/>
        </a:xfrm>
        <a:prstGeom prst="line">
          <a:avLst/>
        </a:prstGeom>
        <a:noFill/>
        <a:ln w="9525">
          <a:solidFill>
            <a:srgbClr val="000000"/>
          </a:solidFill>
          <a:prstDash val="dash"/>
          <a:round/>
          <a:headEnd/>
          <a:tailEnd/>
        </a:ln>
      </xdr:spPr>
    </xdr:sp>
    <xdr:clientData/>
  </xdr:twoCellAnchor>
  <xdr:twoCellAnchor>
    <xdr:from>
      <xdr:col>2</xdr:col>
      <xdr:colOff>38100</xdr:colOff>
      <xdr:row>244</xdr:row>
      <xdr:rowOff>38100</xdr:rowOff>
    </xdr:from>
    <xdr:to>
      <xdr:col>3</xdr:col>
      <xdr:colOff>0</xdr:colOff>
      <xdr:row>244</xdr:row>
      <xdr:rowOff>190500</xdr:rowOff>
    </xdr:to>
    <xdr:sp macro="" textlink="">
      <xdr:nvSpPr>
        <xdr:cNvPr id="3099" name="Line 280">
          <a:extLst>
            <a:ext uri="{FF2B5EF4-FFF2-40B4-BE49-F238E27FC236}">
              <a16:creationId xmlns:a16="http://schemas.microsoft.com/office/drawing/2014/main" id="{00000000-0008-0000-0000-00001B0C0000}"/>
            </a:ext>
          </a:extLst>
        </xdr:cNvPr>
        <xdr:cNvSpPr>
          <a:spLocks noChangeShapeType="1"/>
        </xdr:cNvSpPr>
      </xdr:nvSpPr>
      <xdr:spPr bwMode="auto">
        <a:xfrm>
          <a:off x="1257300" y="39338250"/>
          <a:ext cx="590550" cy="152400"/>
        </a:xfrm>
        <a:prstGeom prst="line">
          <a:avLst/>
        </a:prstGeom>
        <a:noFill/>
        <a:ln w="9525">
          <a:solidFill>
            <a:srgbClr val="000000"/>
          </a:solidFill>
          <a:prstDash val="dash"/>
          <a:round/>
          <a:headEnd/>
          <a:tailEnd/>
        </a:ln>
      </xdr:spPr>
    </xdr:sp>
    <xdr:clientData/>
  </xdr:twoCellAnchor>
  <xdr:twoCellAnchor>
    <xdr:from>
      <xdr:col>0</xdr:col>
      <xdr:colOff>257175</xdr:colOff>
      <xdr:row>243</xdr:row>
      <xdr:rowOff>38100</xdr:rowOff>
    </xdr:from>
    <xdr:to>
      <xdr:col>0</xdr:col>
      <xdr:colOff>314325</xdr:colOff>
      <xdr:row>243</xdr:row>
      <xdr:rowOff>76200</xdr:rowOff>
    </xdr:to>
    <xdr:sp macro="" textlink="">
      <xdr:nvSpPr>
        <xdr:cNvPr id="3100" name="Line 357">
          <a:extLst>
            <a:ext uri="{FF2B5EF4-FFF2-40B4-BE49-F238E27FC236}">
              <a16:creationId xmlns:a16="http://schemas.microsoft.com/office/drawing/2014/main" id="{00000000-0008-0000-0000-00001C0C0000}"/>
            </a:ext>
          </a:extLst>
        </xdr:cNvPr>
        <xdr:cNvSpPr>
          <a:spLocks noChangeShapeType="1"/>
        </xdr:cNvSpPr>
      </xdr:nvSpPr>
      <xdr:spPr bwMode="auto">
        <a:xfrm flipH="1">
          <a:off x="257175" y="39147750"/>
          <a:ext cx="57150" cy="38100"/>
        </a:xfrm>
        <a:prstGeom prst="line">
          <a:avLst/>
        </a:prstGeom>
        <a:noFill/>
        <a:ln w="9525">
          <a:solidFill>
            <a:srgbClr val="000000"/>
          </a:solidFill>
          <a:round/>
          <a:headEnd/>
          <a:tailEnd/>
        </a:ln>
      </xdr:spPr>
    </xdr:sp>
    <xdr:clientData/>
  </xdr:twoCellAnchor>
  <xdr:twoCellAnchor>
    <xdr:from>
      <xdr:col>0</xdr:col>
      <xdr:colOff>285750</xdr:colOff>
      <xdr:row>243</xdr:row>
      <xdr:rowOff>38100</xdr:rowOff>
    </xdr:from>
    <xdr:to>
      <xdr:col>0</xdr:col>
      <xdr:colOff>342900</xdr:colOff>
      <xdr:row>243</xdr:row>
      <xdr:rowOff>76200</xdr:rowOff>
    </xdr:to>
    <xdr:sp macro="" textlink="">
      <xdr:nvSpPr>
        <xdr:cNvPr id="3101" name="Line 358">
          <a:extLst>
            <a:ext uri="{FF2B5EF4-FFF2-40B4-BE49-F238E27FC236}">
              <a16:creationId xmlns:a16="http://schemas.microsoft.com/office/drawing/2014/main" id="{00000000-0008-0000-0000-00001D0C0000}"/>
            </a:ext>
          </a:extLst>
        </xdr:cNvPr>
        <xdr:cNvSpPr>
          <a:spLocks noChangeShapeType="1"/>
        </xdr:cNvSpPr>
      </xdr:nvSpPr>
      <xdr:spPr bwMode="auto">
        <a:xfrm flipH="1">
          <a:off x="285750" y="39147750"/>
          <a:ext cx="57150" cy="38100"/>
        </a:xfrm>
        <a:prstGeom prst="line">
          <a:avLst/>
        </a:prstGeom>
        <a:noFill/>
        <a:ln w="9525">
          <a:solidFill>
            <a:srgbClr val="000000"/>
          </a:solidFill>
          <a:round/>
          <a:headEnd/>
          <a:tailEnd/>
        </a:ln>
      </xdr:spPr>
    </xdr:sp>
    <xdr:clientData/>
  </xdr:twoCellAnchor>
  <xdr:twoCellAnchor>
    <xdr:from>
      <xdr:col>0</xdr:col>
      <xdr:colOff>314325</xdr:colOff>
      <xdr:row>243</xdr:row>
      <xdr:rowOff>38100</xdr:rowOff>
    </xdr:from>
    <xdr:to>
      <xdr:col>0</xdr:col>
      <xdr:colOff>371475</xdr:colOff>
      <xdr:row>243</xdr:row>
      <xdr:rowOff>76200</xdr:rowOff>
    </xdr:to>
    <xdr:sp macro="" textlink="">
      <xdr:nvSpPr>
        <xdr:cNvPr id="3102" name="Line 359">
          <a:extLst>
            <a:ext uri="{FF2B5EF4-FFF2-40B4-BE49-F238E27FC236}">
              <a16:creationId xmlns:a16="http://schemas.microsoft.com/office/drawing/2014/main" id="{00000000-0008-0000-0000-00001E0C0000}"/>
            </a:ext>
          </a:extLst>
        </xdr:cNvPr>
        <xdr:cNvSpPr>
          <a:spLocks noChangeShapeType="1"/>
        </xdr:cNvSpPr>
      </xdr:nvSpPr>
      <xdr:spPr bwMode="auto">
        <a:xfrm flipH="1">
          <a:off x="314325" y="39147750"/>
          <a:ext cx="57150" cy="38100"/>
        </a:xfrm>
        <a:prstGeom prst="line">
          <a:avLst/>
        </a:prstGeom>
        <a:noFill/>
        <a:ln w="9525">
          <a:solidFill>
            <a:srgbClr val="000000"/>
          </a:solidFill>
          <a:round/>
          <a:headEnd/>
          <a:tailEnd/>
        </a:ln>
      </xdr:spPr>
    </xdr:sp>
    <xdr:clientData/>
  </xdr:twoCellAnchor>
  <xdr:twoCellAnchor>
    <xdr:from>
      <xdr:col>0</xdr:col>
      <xdr:colOff>381000</xdr:colOff>
      <xdr:row>243</xdr:row>
      <xdr:rowOff>38100</xdr:rowOff>
    </xdr:from>
    <xdr:to>
      <xdr:col>0</xdr:col>
      <xdr:colOff>438150</xdr:colOff>
      <xdr:row>243</xdr:row>
      <xdr:rowOff>85725</xdr:rowOff>
    </xdr:to>
    <xdr:sp macro="" textlink="">
      <xdr:nvSpPr>
        <xdr:cNvPr id="3103" name="Line 360">
          <a:extLst>
            <a:ext uri="{FF2B5EF4-FFF2-40B4-BE49-F238E27FC236}">
              <a16:creationId xmlns:a16="http://schemas.microsoft.com/office/drawing/2014/main" id="{00000000-0008-0000-0000-00001F0C0000}"/>
            </a:ext>
          </a:extLst>
        </xdr:cNvPr>
        <xdr:cNvSpPr>
          <a:spLocks noChangeShapeType="1"/>
        </xdr:cNvSpPr>
      </xdr:nvSpPr>
      <xdr:spPr bwMode="auto">
        <a:xfrm>
          <a:off x="381000" y="39147750"/>
          <a:ext cx="57150" cy="47625"/>
        </a:xfrm>
        <a:prstGeom prst="line">
          <a:avLst/>
        </a:prstGeom>
        <a:noFill/>
        <a:ln w="9525">
          <a:solidFill>
            <a:srgbClr val="000000"/>
          </a:solidFill>
          <a:round/>
          <a:headEnd/>
          <a:tailEnd/>
        </a:ln>
      </xdr:spPr>
    </xdr:sp>
    <xdr:clientData/>
  </xdr:twoCellAnchor>
  <xdr:twoCellAnchor>
    <xdr:from>
      <xdr:col>0</xdr:col>
      <xdr:colOff>419100</xdr:colOff>
      <xdr:row>243</xdr:row>
      <xdr:rowOff>38100</xdr:rowOff>
    </xdr:from>
    <xdr:to>
      <xdr:col>0</xdr:col>
      <xdr:colOff>466725</xdr:colOff>
      <xdr:row>243</xdr:row>
      <xdr:rowOff>85725</xdr:rowOff>
    </xdr:to>
    <xdr:sp macro="" textlink="">
      <xdr:nvSpPr>
        <xdr:cNvPr id="3104" name="Line 361">
          <a:extLst>
            <a:ext uri="{FF2B5EF4-FFF2-40B4-BE49-F238E27FC236}">
              <a16:creationId xmlns:a16="http://schemas.microsoft.com/office/drawing/2014/main" id="{00000000-0008-0000-0000-0000200C0000}"/>
            </a:ext>
          </a:extLst>
        </xdr:cNvPr>
        <xdr:cNvSpPr>
          <a:spLocks noChangeShapeType="1"/>
        </xdr:cNvSpPr>
      </xdr:nvSpPr>
      <xdr:spPr bwMode="auto">
        <a:xfrm>
          <a:off x="419100" y="39147750"/>
          <a:ext cx="47625" cy="47625"/>
        </a:xfrm>
        <a:prstGeom prst="line">
          <a:avLst/>
        </a:prstGeom>
        <a:noFill/>
        <a:ln w="9525">
          <a:solidFill>
            <a:srgbClr val="000000"/>
          </a:solidFill>
          <a:round/>
          <a:headEnd/>
          <a:tailEnd/>
        </a:ln>
      </xdr:spPr>
    </xdr:sp>
    <xdr:clientData/>
  </xdr:twoCellAnchor>
  <xdr:twoCellAnchor>
    <xdr:from>
      <xdr:col>0</xdr:col>
      <xdr:colOff>447675</xdr:colOff>
      <xdr:row>243</xdr:row>
      <xdr:rowOff>47625</xdr:rowOff>
    </xdr:from>
    <xdr:to>
      <xdr:col>0</xdr:col>
      <xdr:colOff>495300</xdr:colOff>
      <xdr:row>243</xdr:row>
      <xdr:rowOff>85725</xdr:rowOff>
    </xdr:to>
    <xdr:sp macro="" textlink="">
      <xdr:nvSpPr>
        <xdr:cNvPr id="3105" name="Line 362">
          <a:extLst>
            <a:ext uri="{FF2B5EF4-FFF2-40B4-BE49-F238E27FC236}">
              <a16:creationId xmlns:a16="http://schemas.microsoft.com/office/drawing/2014/main" id="{00000000-0008-0000-0000-0000210C0000}"/>
            </a:ext>
          </a:extLst>
        </xdr:cNvPr>
        <xdr:cNvSpPr>
          <a:spLocks noChangeShapeType="1"/>
        </xdr:cNvSpPr>
      </xdr:nvSpPr>
      <xdr:spPr bwMode="auto">
        <a:xfrm>
          <a:off x="447675" y="39157275"/>
          <a:ext cx="47625" cy="38100"/>
        </a:xfrm>
        <a:prstGeom prst="line">
          <a:avLst/>
        </a:prstGeom>
        <a:noFill/>
        <a:ln w="9525">
          <a:solidFill>
            <a:srgbClr val="000000"/>
          </a:solidFill>
          <a:round/>
          <a:headEnd/>
          <a:tailEnd/>
        </a:ln>
      </xdr:spPr>
    </xdr:sp>
    <xdr:clientData/>
  </xdr:twoCellAnchor>
  <xdr:twoCellAnchor>
    <xdr:from>
      <xdr:col>0</xdr:col>
      <xdr:colOff>161925</xdr:colOff>
      <xdr:row>245</xdr:row>
      <xdr:rowOff>95250</xdr:rowOff>
    </xdr:from>
    <xdr:to>
      <xdr:col>3</xdr:col>
      <xdr:colOff>0</xdr:colOff>
      <xdr:row>245</xdr:row>
      <xdr:rowOff>95250</xdr:rowOff>
    </xdr:to>
    <xdr:sp macro="" textlink="">
      <xdr:nvSpPr>
        <xdr:cNvPr id="3106" name="Line 293">
          <a:extLst>
            <a:ext uri="{FF2B5EF4-FFF2-40B4-BE49-F238E27FC236}">
              <a16:creationId xmlns:a16="http://schemas.microsoft.com/office/drawing/2014/main" id="{00000000-0008-0000-0000-0000220C0000}"/>
            </a:ext>
          </a:extLst>
        </xdr:cNvPr>
        <xdr:cNvSpPr>
          <a:spLocks noChangeShapeType="1"/>
        </xdr:cNvSpPr>
      </xdr:nvSpPr>
      <xdr:spPr bwMode="auto">
        <a:xfrm>
          <a:off x="161925" y="39585900"/>
          <a:ext cx="1685925" cy="0"/>
        </a:xfrm>
        <a:prstGeom prst="line">
          <a:avLst/>
        </a:prstGeom>
        <a:noFill/>
        <a:ln w="9525">
          <a:solidFill>
            <a:srgbClr val="000000"/>
          </a:solidFill>
          <a:prstDash val="dash"/>
          <a:round/>
          <a:headEnd/>
          <a:tailEnd/>
        </a:ln>
      </xdr:spPr>
    </xdr:sp>
    <xdr:clientData/>
  </xdr:twoCellAnchor>
  <xdr:twoCellAnchor>
    <xdr:from>
      <xdr:col>0</xdr:col>
      <xdr:colOff>161925</xdr:colOff>
      <xdr:row>245</xdr:row>
      <xdr:rowOff>0</xdr:rowOff>
    </xdr:from>
    <xdr:to>
      <xdr:col>0</xdr:col>
      <xdr:colOff>161925</xdr:colOff>
      <xdr:row>245</xdr:row>
      <xdr:rowOff>104775</xdr:rowOff>
    </xdr:to>
    <xdr:sp macro="" textlink="">
      <xdr:nvSpPr>
        <xdr:cNvPr id="3107" name="Line 294">
          <a:extLst>
            <a:ext uri="{FF2B5EF4-FFF2-40B4-BE49-F238E27FC236}">
              <a16:creationId xmlns:a16="http://schemas.microsoft.com/office/drawing/2014/main" id="{00000000-0008-0000-0000-0000230C0000}"/>
            </a:ext>
          </a:extLst>
        </xdr:cNvPr>
        <xdr:cNvSpPr>
          <a:spLocks noChangeShapeType="1"/>
        </xdr:cNvSpPr>
      </xdr:nvSpPr>
      <xdr:spPr bwMode="auto">
        <a:xfrm flipH="1">
          <a:off x="161925" y="39490650"/>
          <a:ext cx="0" cy="104775"/>
        </a:xfrm>
        <a:prstGeom prst="line">
          <a:avLst/>
        </a:prstGeom>
        <a:noFill/>
        <a:ln w="9525">
          <a:solidFill>
            <a:srgbClr val="000000"/>
          </a:solidFill>
          <a:prstDash val="dash"/>
          <a:round/>
          <a:headEnd/>
          <a:tailEnd/>
        </a:ln>
      </xdr:spPr>
    </xdr:sp>
    <xdr:clientData/>
  </xdr:twoCellAnchor>
  <xdr:twoCellAnchor>
    <xdr:from>
      <xdr:col>3</xdr:col>
      <xdr:colOff>0</xdr:colOff>
      <xdr:row>244</xdr:row>
      <xdr:rowOff>190500</xdr:rowOff>
    </xdr:from>
    <xdr:to>
      <xdr:col>3</xdr:col>
      <xdr:colOff>0</xdr:colOff>
      <xdr:row>245</xdr:row>
      <xdr:rowOff>95250</xdr:rowOff>
    </xdr:to>
    <xdr:sp macro="" textlink="">
      <xdr:nvSpPr>
        <xdr:cNvPr id="3108" name="Line 295">
          <a:extLst>
            <a:ext uri="{FF2B5EF4-FFF2-40B4-BE49-F238E27FC236}">
              <a16:creationId xmlns:a16="http://schemas.microsoft.com/office/drawing/2014/main" id="{00000000-0008-0000-0000-0000240C0000}"/>
            </a:ext>
          </a:extLst>
        </xdr:cNvPr>
        <xdr:cNvSpPr>
          <a:spLocks noChangeShapeType="1"/>
        </xdr:cNvSpPr>
      </xdr:nvSpPr>
      <xdr:spPr bwMode="auto">
        <a:xfrm flipH="1">
          <a:off x="1847850" y="39490650"/>
          <a:ext cx="0" cy="95250"/>
        </a:xfrm>
        <a:prstGeom prst="line">
          <a:avLst/>
        </a:prstGeom>
        <a:noFill/>
        <a:ln w="9525">
          <a:solidFill>
            <a:srgbClr val="000000"/>
          </a:solidFill>
          <a:prstDash val="dash"/>
          <a:round/>
          <a:headEnd/>
          <a:tailEnd/>
        </a:ln>
      </xdr:spPr>
    </xdr:sp>
    <xdr:clientData/>
  </xdr:twoCellAnchor>
  <xdr:twoCellAnchor>
    <xdr:from>
      <xdr:col>1</xdr:col>
      <xdr:colOff>209550</xdr:colOff>
      <xdr:row>239</xdr:row>
      <xdr:rowOff>85725</xdr:rowOff>
    </xdr:from>
    <xdr:to>
      <xdr:col>1</xdr:col>
      <xdr:colOff>323850</xdr:colOff>
      <xdr:row>242</xdr:row>
      <xdr:rowOff>123825</xdr:rowOff>
    </xdr:to>
    <xdr:sp macro="" textlink="">
      <xdr:nvSpPr>
        <xdr:cNvPr id="3109" name="Line 296">
          <a:extLst>
            <a:ext uri="{FF2B5EF4-FFF2-40B4-BE49-F238E27FC236}">
              <a16:creationId xmlns:a16="http://schemas.microsoft.com/office/drawing/2014/main" id="{00000000-0008-0000-0000-0000250C0000}"/>
            </a:ext>
          </a:extLst>
        </xdr:cNvPr>
        <xdr:cNvSpPr>
          <a:spLocks noChangeShapeType="1"/>
        </xdr:cNvSpPr>
      </xdr:nvSpPr>
      <xdr:spPr bwMode="auto">
        <a:xfrm flipH="1">
          <a:off x="819150" y="38290500"/>
          <a:ext cx="114300" cy="752475"/>
        </a:xfrm>
        <a:prstGeom prst="line">
          <a:avLst/>
        </a:prstGeom>
        <a:noFill/>
        <a:ln w="9525">
          <a:solidFill>
            <a:srgbClr val="000000"/>
          </a:solidFill>
          <a:round/>
          <a:headEnd/>
          <a:tailEnd/>
        </a:ln>
      </xdr:spPr>
    </xdr:sp>
    <xdr:clientData/>
  </xdr:twoCellAnchor>
  <xdr:twoCellAnchor>
    <xdr:from>
      <xdr:col>1</xdr:col>
      <xdr:colOff>152400</xdr:colOff>
      <xdr:row>242</xdr:row>
      <xdr:rowOff>123825</xdr:rowOff>
    </xdr:from>
    <xdr:to>
      <xdr:col>1</xdr:col>
      <xdr:colOff>209550</xdr:colOff>
      <xdr:row>244</xdr:row>
      <xdr:rowOff>38100</xdr:rowOff>
    </xdr:to>
    <xdr:sp macro="" textlink="">
      <xdr:nvSpPr>
        <xdr:cNvPr id="3110" name="Line 297">
          <a:extLst>
            <a:ext uri="{FF2B5EF4-FFF2-40B4-BE49-F238E27FC236}">
              <a16:creationId xmlns:a16="http://schemas.microsoft.com/office/drawing/2014/main" id="{00000000-0008-0000-0000-0000260C0000}"/>
            </a:ext>
          </a:extLst>
        </xdr:cNvPr>
        <xdr:cNvSpPr>
          <a:spLocks noChangeShapeType="1"/>
        </xdr:cNvSpPr>
      </xdr:nvSpPr>
      <xdr:spPr bwMode="auto">
        <a:xfrm flipH="1">
          <a:off x="762000" y="39042975"/>
          <a:ext cx="57150" cy="295275"/>
        </a:xfrm>
        <a:prstGeom prst="line">
          <a:avLst/>
        </a:prstGeom>
        <a:noFill/>
        <a:ln w="9525">
          <a:solidFill>
            <a:srgbClr val="000000"/>
          </a:solidFill>
          <a:prstDash val="dash"/>
          <a:round/>
          <a:headEnd/>
          <a:tailEnd/>
        </a:ln>
      </xdr:spPr>
    </xdr:sp>
    <xdr:clientData/>
  </xdr:twoCellAnchor>
  <xdr:twoCellAnchor>
    <xdr:from>
      <xdr:col>1</xdr:col>
      <xdr:colOff>333375</xdr:colOff>
      <xdr:row>239</xdr:row>
      <xdr:rowOff>85725</xdr:rowOff>
    </xdr:from>
    <xdr:to>
      <xdr:col>1</xdr:col>
      <xdr:colOff>466725</xdr:colOff>
      <xdr:row>239</xdr:row>
      <xdr:rowOff>85725</xdr:rowOff>
    </xdr:to>
    <xdr:sp macro="" textlink="">
      <xdr:nvSpPr>
        <xdr:cNvPr id="3111" name="Line 299">
          <a:extLst>
            <a:ext uri="{FF2B5EF4-FFF2-40B4-BE49-F238E27FC236}">
              <a16:creationId xmlns:a16="http://schemas.microsoft.com/office/drawing/2014/main" id="{00000000-0008-0000-0000-0000270C0000}"/>
            </a:ext>
          </a:extLst>
        </xdr:cNvPr>
        <xdr:cNvSpPr>
          <a:spLocks noChangeShapeType="1"/>
        </xdr:cNvSpPr>
      </xdr:nvSpPr>
      <xdr:spPr bwMode="auto">
        <a:xfrm>
          <a:off x="942975" y="38290500"/>
          <a:ext cx="133350" cy="0"/>
        </a:xfrm>
        <a:prstGeom prst="line">
          <a:avLst/>
        </a:prstGeom>
        <a:noFill/>
        <a:ln w="9525">
          <a:solidFill>
            <a:srgbClr val="000000"/>
          </a:solidFill>
          <a:round/>
          <a:headEnd/>
          <a:tailEnd/>
        </a:ln>
      </xdr:spPr>
    </xdr:sp>
    <xdr:clientData/>
  </xdr:twoCellAnchor>
  <xdr:twoCellAnchor>
    <xdr:from>
      <xdr:col>1</xdr:col>
      <xdr:colOff>466725</xdr:colOff>
      <xdr:row>239</xdr:row>
      <xdr:rowOff>85725</xdr:rowOff>
    </xdr:from>
    <xdr:to>
      <xdr:col>1</xdr:col>
      <xdr:colOff>581025</xdr:colOff>
      <xdr:row>242</xdr:row>
      <xdr:rowOff>123825</xdr:rowOff>
    </xdr:to>
    <xdr:sp macro="" textlink="">
      <xdr:nvSpPr>
        <xdr:cNvPr id="3112" name="Line 300">
          <a:extLst>
            <a:ext uri="{FF2B5EF4-FFF2-40B4-BE49-F238E27FC236}">
              <a16:creationId xmlns:a16="http://schemas.microsoft.com/office/drawing/2014/main" id="{00000000-0008-0000-0000-0000280C0000}"/>
            </a:ext>
          </a:extLst>
        </xdr:cNvPr>
        <xdr:cNvSpPr>
          <a:spLocks noChangeShapeType="1"/>
        </xdr:cNvSpPr>
      </xdr:nvSpPr>
      <xdr:spPr bwMode="auto">
        <a:xfrm>
          <a:off x="1076325" y="38290500"/>
          <a:ext cx="114300" cy="752475"/>
        </a:xfrm>
        <a:prstGeom prst="line">
          <a:avLst/>
        </a:prstGeom>
        <a:noFill/>
        <a:ln w="9525">
          <a:solidFill>
            <a:srgbClr val="000000"/>
          </a:solidFill>
          <a:round/>
          <a:headEnd/>
          <a:tailEnd/>
        </a:ln>
      </xdr:spPr>
    </xdr:sp>
    <xdr:clientData/>
  </xdr:twoCellAnchor>
  <xdr:twoCellAnchor>
    <xdr:from>
      <xdr:col>1</xdr:col>
      <xdr:colOff>581025</xdr:colOff>
      <xdr:row>242</xdr:row>
      <xdr:rowOff>142875</xdr:rowOff>
    </xdr:from>
    <xdr:to>
      <xdr:col>2</xdr:col>
      <xdr:colOff>38100</xdr:colOff>
      <xdr:row>244</xdr:row>
      <xdr:rowOff>38100</xdr:rowOff>
    </xdr:to>
    <xdr:sp macro="" textlink="">
      <xdr:nvSpPr>
        <xdr:cNvPr id="3113" name="Line 301">
          <a:extLst>
            <a:ext uri="{FF2B5EF4-FFF2-40B4-BE49-F238E27FC236}">
              <a16:creationId xmlns:a16="http://schemas.microsoft.com/office/drawing/2014/main" id="{00000000-0008-0000-0000-0000290C0000}"/>
            </a:ext>
          </a:extLst>
        </xdr:cNvPr>
        <xdr:cNvSpPr>
          <a:spLocks noChangeShapeType="1"/>
        </xdr:cNvSpPr>
      </xdr:nvSpPr>
      <xdr:spPr bwMode="auto">
        <a:xfrm>
          <a:off x="1190625" y="39062025"/>
          <a:ext cx="66675" cy="276225"/>
        </a:xfrm>
        <a:prstGeom prst="line">
          <a:avLst/>
        </a:prstGeom>
        <a:noFill/>
        <a:ln w="9525">
          <a:solidFill>
            <a:srgbClr val="000000"/>
          </a:solidFill>
          <a:prstDash val="dash"/>
          <a:round/>
          <a:headEnd/>
          <a:tailEnd/>
        </a:ln>
      </xdr:spPr>
    </xdr:sp>
    <xdr:clientData/>
  </xdr:twoCellAnchor>
  <xdr:twoCellAnchor>
    <xdr:from>
      <xdr:col>1</xdr:col>
      <xdr:colOff>152400</xdr:colOff>
      <xdr:row>244</xdr:row>
      <xdr:rowOff>38100</xdr:rowOff>
    </xdr:from>
    <xdr:to>
      <xdr:col>2</xdr:col>
      <xdr:colOff>38100</xdr:colOff>
      <xdr:row>244</xdr:row>
      <xdr:rowOff>38100</xdr:rowOff>
    </xdr:to>
    <xdr:sp macro="" textlink="">
      <xdr:nvSpPr>
        <xdr:cNvPr id="3114" name="Line 8415">
          <a:extLst>
            <a:ext uri="{FF2B5EF4-FFF2-40B4-BE49-F238E27FC236}">
              <a16:creationId xmlns:a16="http://schemas.microsoft.com/office/drawing/2014/main" id="{00000000-0008-0000-0000-00002A0C0000}"/>
            </a:ext>
          </a:extLst>
        </xdr:cNvPr>
        <xdr:cNvSpPr>
          <a:spLocks noChangeShapeType="1"/>
        </xdr:cNvSpPr>
      </xdr:nvSpPr>
      <xdr:spPr bwMode="auto">
        <a:xfrm>
          <a:off x="762000" y="39338250"/>
          <a:ext cx="495300" cy="0"/>
        </a:xfrm>
        <a:prstGeom prst="line">
          <a:avLst/>
        </a:prstGeom>
        <a:noFill/>
        <a:ln w="9525">
          <a:solidFill>
            <a:srgbClr val="000000"/>
          </a:solidFill>
          <a:prstDash val="dash"/>
          <a:round/>
          <a:headEnd/>
          <a:tailEnd/>
        </a:ln>
      </xdr:spPr>
    </xdr:sp>
    <xdr:clientData/>
  </xdr:twoCellAnchor>
  <xdr:twoCellAnchor>
    <xdr:from>
      <xdr:col>1</xdr:col>
      <xdr:colOff>466349</xdr:colOff>
      <xdr:row>239</xdr:row>
      <xdr:rowOff>83029</xdr:rowOff>
    </xdr:from>
    <xdr:to>
      <xdr:col>3</xdr:col>
      <xdr:colOff>561974</xdr:colOff>
      <xdr:row>239</xdr:row>
      <xdr:rowOff>85830</xdr:rowOff>
    </xdr:to>
    <xdr:cxnSp macro="">
      <xdr:nvCxnSpPr>
        <xdr:cNvPr id="1281" name="Straight Connector 1280">
          <a:extLst>
            <a:ext uri="{FF2B5EF4-FFF2-40B4-BE49-F238E27FC236}">
              <a16:creationId xmlns:a16="http://schemas.microsoft.com/office/drawing/2014/main" id="{00000000-0008-0000-0000-000001050000}"/>
            </a:ext>
          </a:extLst>
        </xdr:cNvPr>
        <xdr:cNvCxnSpPr>
          <a:stCxn id="3112" idx="0"/>
        </xdr:cNvCxnSpPr>
      </xdr:nvCxnSpPr>
      <xdr:spPr>
        <a:xfrm rot="16200000" flipH="1">
          <a:off x="1731961" y="35964917"/>
          <a:ext cx="2801" cy="131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295275</xdr:colOff>
      <xdr:row>239</xdr:row>
      <xdr:rowOff>95250</xdr:rowOff>
    </xdr:from>
    <xdr:to>
      <xdr:col>2</xdr:col>
      <xdr:colOff>352425</xdr:colOff>
      <xdr:row>239</xdr:row>
      <xdr:rowOff>133350</xdr:rowOff>
    </xdr:to>
    <xdr:sp macro="" textlink="">
      <xdr:nvSpPr>
        <xdr:cNvPr id="3116" name="Line 357">
          <a:extLst>
            <a:ext uri="{FF2B5EF4-FFF2-40B4-BE49-F238E27FC236}">
              <a16:creationId xmlns:a16="http://schemas.microsoft.com/office/drawing/2014/main" id="{00000000-0008-0000-0000-00002C0C0000}"/>
            </a:ext>
          </a:extLst>
        </xdr:cNvPr>
        <xdr:cNvSpPr>
          <a:spLocks noChangeShapeType="1"/>
        </xdr:cNvSpPr>
      </xdr:nvSpPr>
      <xdr:spPr bwMode="auto">
        <a:xfrm flipH="1">
          <a:off x="1514475" y="38300025"/>
          <a:ext cx="57150" cy="38100"/>
        </a:xfrm>
        <a:prstGeom prst="line">
          <a:avLst/>
        </a:prstGeom>
        <a:noFill/>
        <a:ln w="9525">
          <a:solidFill>
            <a:srgbClr val="000000"/>
          </a:solidFill>
          <a:round/>
          <a:headEnd/>
          <a:tailEnd/>
        </a:ln>
      </xdr:spPr>
    </xdr:sp>
    <xdr:clientData/>
  </xdr:twoCellAnchor>
  <xdr:twoCellAnchor>
    <xdr:from>
      <xdr:col>2</xdr:col>
      <xdr:colOff>323850</xdr:colOff>
      <xdr:row>239</xdr:row>
      <xdr:rowOff>95250</xdr:rowOff>
    </xdr:from>
    <xdr:to>
      <xdr:col>2</xdr:col>
      <xdr:colOff>381000</xdr:colOff>
      <xdr:row>239</xdr:row>
      <xdr:rowOff>133350</xdr:rowOff>
    </xdr:to>
    <xdr:sp macro="" textlink="">
      <xdr:nvSpPr>
        <xdr:cNvPr id="3117" name="Line 358">
          <a:extLst>
            <a:ext uri="{FF2B5EF4-FFF2-40B4-BE49-F238E27FC236}">
              <a16:creationId xmlns:a16="http://schemas.microsoft.com/office/drawing/2014/main" id="{00000000-0008-0000-0000-00002D0C0000}"/>
            </a:ext>
          </a:extLst>
        </xdr:cNvPr>
        <xdr:cNvSpPr>
          <a:spLocks noChangeShapeType="1"/>
        </xdr:cNvSpPr>
      </xdr:nvSpPr>
      <xdr:spPr bwMode="auto">
        <a:xfrm flipH="1">
          <a:off x="1543050" y="38300025"/>
          <a:ext cx="57150" cy="38100"/>
        </a:xfrm>
        <a:prstGeom prst="line">
          <a:avLst/>
        </a:prstGeom>
        <a:noFill/>
        <a:ln w="9525">
          <a:solidFill>
            <a:srgbClr val="000000"/>
          </a:solidFill>
          <a:round/>
          <a:headEnd/>
          <a:tailEnd/>
        </a:ln>
      </xdr:spPr>
    </xdr:sp>
    <xdr:clientData/>
  </xdr:twoCellAnchor>
  <xdr:twoCellAnchor>
    <xdr:from>
      <xdr:col>2</xdr:col>
      <xdr:colOff>361950</xdr:colOff>
      <xdr:row>239</xdr:row>
      <xdr:rowOff>95250</xdr:rowOff>
    </xdr:from>
    <xdr:to>
      <xdr:col>2</xdr:col>
      <xdr:colOff>419100</xdr:colOff>
      <xdr:row>239</xdr:row>
      <xdr:rowOff>133350</xdr:rowOff>
    </xdr:to>
    <xdr:sp macro="" textlink="">
      <xdr:nvSpPr>
        <xdr:cNvPr id="3118" name="Line 359">
          <a:extLst>
            <a:ext uri="{FF2B5EF4-FFF2-40B4-BE49-F238E27FC236}">
              <a16:creationId xmlns:a16="http://schemas.microsoft.com/office/drawing/2014/main" id="{00000000-0008-0000-0000-00002E0C0000}"/>
            </a:ext>
          </a:extLst>
        </xdr:cNvPr>
        <xdr:cNvSpPr>
          <a:spLocks noChangeShapeType="1"/>
        </xdr:cNvSpPr>
      </xdr:nvSpPr>
      <xdr:spPr bwMode="auto">
        <a:xfrm flipH="1">
          <a:off x="1581150" y="38300025"/>
          <a:ext cx="57150" cy="38100"/>
        </a:xfrm>
        <a:prstGeom prst="line">
          <a:avLst/>
        </a:prstGeom>
        <a:noFill/>
        <a:ln w="9525">
          <a:solidFill>
            <a:srgbClr val="000000"/>
          </a:solidFill>
          <a:round/>
          <a:headEnd/>
          <a:tailEnd/>
        </a:ln>
      </xdr:spPr>
    </xdr:sp>
    <xdr:clientData/>
  </xdr:twoCellAnchor>
  <xdr:twoCellAnchor>
    <xdr:from>
      <xdr:col>2</xdr:col>
      <xdr:colOff>428625</xdr:colOff>
      <xdr:row>239</xdr:row>
      <xdr:rowOff>95250</xdr:rowOff>
    </xdr:from>
    <xdr:to>
      <xdr:col>2</xdr:col>
      <xdr:colOff>476250</xdr:colOff>
      <xdr:row>239</xdr:row>
      <xdr:rowOff>142875</xdr:rowOff>
    </xdr:to>
    <xdr:sp macro="" textlink="">
      <xdr:nvSpPr>
        <xdr:cNvPr id="3119" name="Line 360">
          <a:extLst>
            <a:ext uri="{FF2B5EF4-FFF2-40B4-BE49-F238E27FC236}">
              <a16:creationId xmlns:a16="http://schemas.microsoft.com/office/drawing/2014/main" id="{00000000-0008-0000-0000-00002F0C0000}"/>
            </a:ext>
          </a:extLst>
        </xdr:cNvPr>
        <xdr:cNvSpPr>
          <a:spLocks noChangeShapeType="1"/>
        </xdr:cNvSpPr>
      </xdr:nvSpPr>
      <xdr:spPr bwMode="auto">
        <a:xfrm>
          <a:off x="1647825" y="38300025"/>
          <a:ext cx="47625" cy="47625"/>
        </a:xfrm>
        <a:prstGeom prst="line">
          <a:avLst/>
        </a:prstGeom>
        <a:noFill/>
        <a:ln w="9525">
          <a:solidFill>
            <a:srgbClr val="000000"/>
          </a:solidFill>
          <a:round/>
          <a:headEnd/>
          <a:tailEnd/>
        </a:ln>
      </xdr:spPr>
    </xdr:sp>
    <xdr:clientData/>
  </xdr:twoCellAnchor>
  <xdr:twoCellAnchor>
    <xdr:from>
      <xdr:col>2</xdr:col>
      <xdr:colOff>457200</xdr:colOff>
      <xdr:row>239</xdr:row>
      <xdr:rowOff>95250</xdr:rowOff>
    </xdr:from>
    <xdr:to>
      <xdr:col>2</xdr:col>
      <xdr:colOff>504825</xdr:colOff>
      <xdr:row>239</xdr:row>
      <xdr:rowOff>142875</xdr:rowOff>
    </xdr:to>
    <xdr:sp macro="" textlink="">
      <xdr:nvSpPr>
        <xdr:cNvPr id="3120" name="Line 361">
          <a:extLst>
            <a:ext uri="{FF2B5EF4-FFF2-40B4-BE49-F238E27FC236}">
              <a16:creationId xmlns:a16="http://schemas.microsoft.com/office/drawing/2014/main" id="{00000000-0008-0000-0000-0000300C0000}"/>
            </a:ext>
          </a:extLst>
        </xdr:cNvPr>
        <xdr:cNvSpPr>
          <a:spLocks noChangeShapeType="1"/>
        </xdr:cNvSpPr>
      </xdr:nvSpPr>
      <xdr:spPr bwMode="auto">
        <a:xfrm>
          <a:off x="1676400" y="38300025"/>
          <a:ext cx="47625" cy="47625"/>
        </a:xfrm>
        <a:prstGeom prst="line">
          <a:avLst/>
        </a:prstGeom>
        <a:noFill/>
        <a:ln w="9525">
          <a:solidFill>
            <a:srgbClr val="000000"/>
          </a:solidFill>
          <a:round/>
          <a:headEnd/>
          <a:tailEnd/>
        </a:ln>
      </xdr:spPr>
    </xdr:sp>
    <xdr:clientData/>
  </xdr:twoCellAnchor>
  <xdr:twoCellAnchor>
    <xdr:from>
      <xdr:col>2</xdr:col>
      <xdr:colOff>495300</xdr:colOff>
      <xdr:row>239</xdr:row>
      <xdr:rowOff>104775</xdr:rowOff>
    </xdr:from>
    <xdr:to>
      <xdr:col>2</xdr:col>
      <xdr:colOff>533400</xdr:colOff>
      <xdr:row>239</xdr:row>
      <xdr:rowOff>142875</xdr:rowOff>
    </xdr:to>
    <xdr:sp macro="" textlink="">
      <xdr:nvSpPr>
        <xdr:cNvPr id="3121" name="Line 362">
          <a:extLst>
            <a:ext uri="{FF2B5EF4-FFF2-40B4-BE49-F238E27FC236}">
              <a16:creationId xmlns:a16="http://schemas.microsoft.com/office/drawing/2014/main" id="{00000000-0008-0000-0000-0000310C0000}"/>
            </a:ext>
          </a:extLst>
        </xdr:cNvPr>
        <xdr:cNvSpPr>
          <a:spLocks noChangeShapeType="1"/>
        </xdr:cNvSpPr>
      </xdr:nvSpPr>
      <xdr:spPr bwMode="auto">
        <a:xfrm>
          <a:off x="1714500" y="38309550"/>
          <a:ext cx="38100" cy="38100"/>
        </a:xfrm>
        <a:prstGeom prst="line">
          <a:avLst/>
        </a:prstGeom>
        <a:noFill/>
        <a:ln w="9525">
          <a:solidFill>
            <a:srgbClr val="000000"/>
          </a:solidFill>
          <a:round/>
          <a:headEnd/>
          <a:tailEnd/>
        </a:ln>
      </xdr:spPr>
    </xdr:sp>
    <xdr:clientData/>
  </xdr:twoCellAnchor>
  <xdr:twoCellAnchor>
    <xdr:from>
      <xdr:col>1</xdr:col>
      <xdr:colOff>571500</xdr:colOff>
      <xdr:row>238</xdr:row>
      <xdr:rowOff>76200</xdr:rowOff>
    </xdr:from>
    <xdr:to>
      <xdr:col>1</xdr:col>
      <xdr:colOff>571500</xdr:colOff>
      <xdr:row>239</xdr:row>
      <xdr:rowOff>66675</xdr:rowOff>
    </xdr:to>
    <xdr:sp macro="" textlink="">
      <xdr:nvSpPr>
        <xdr:cNvPr id="3122" name="Line 8972">
          <a:extLst>
            <a:ext uri="{FF2B5EF4-FFF2-40B4-BE49-F238E27FC236}">
              <a16:creationId xmlns:a16="http://schemas.microsoft.com/office/drawing/2014/main" id="{00000000-0008-0000-0000-0000320C0000}"/>
            </a:ext>
          </a:extLst>
        </xdr:cNvPr>
        <xdr:cNvSpPr>
          <a:spLocks noChangeShapeType="1"/>
        </xdr:cNvSpPr>
      </xdr:nvSpPr>
      <xdr:spPr bwMode="auto">
        <a:xfrm rot="16200000" flipH="1">
          <a:off x="1090612" y="38180963"/>
          <a:ext cx="180975" cy="0"/>
        </a:xfrm>
        <a:prstGeom prst="line">
          <a:avLst/>
        </a:prstGeom>
        <a:noFill/>
        <a:ln w="9525">
          <a:solidFill>
            <a:srgbClr val="000000"/>
          </a:solidFill>
          <a:round/>
          <a:headEnd/>
          <a:tailEnd type="arrow" w="med" len="med"/>
        </a:ln>
      </xdr:spPr>
    </xdr:sp>
    <xdr:clientData/>
  </xdr:twoCellAnchor>
  <xdr:twoCellAnchor>
    <xdr:from>
      <xdr:col>2</xdr:col>
      <xdr:colOff>66675</xdr:colOff>
      <xdr:row>238</xdr:row>
      <xdr:rowOff>76200</xdr:rowOff>
    </xdr:from>
    <xdr:to>
      <xdr:col>2</xdr:col>
      <xdr:colOff>66675</xdr:colOff>
      <xdr:row>239</xdr:row>
      <xdr:rowOff>66675</xdr:rowOff>
    </xdr:to>
    <xdr:sp macro="" textlink="">
      <xdr:nvSpPr>
        <xdr:cNvPr id="3123" name="Line 8973">
          <a:extLst>
            <a:ext uri="{FF2B5EF4-FFF2-40B4-BE49-F238E27FC236}">
              <a16:creationId xmlns:a16="http://schemas.microsoft.com/office/drawing/2014/main" id="{00000000-0008-0000-0000-0000330C0000}"/>
            </a:ext>
          </a:extLst>
        </xdr:cNvPr>
        <xdr:cNvSpPr>
          <a:spLocks noChangeShapeType="1"/>
        </xdr:cNvSpPr>
      </xdr:nvSpPr>
      <xdr:spPr bwMode="auto">
        <a:xfrm rot="16200000" flipH="1">
          <a:off x="1195387" y="38180963"/>
          <a:ext cx="180975" cy="0"/>
        </a:xfrm>
        <a:prstGeom prst="line">
          <a:avLst/>
        </a:prstGeom>
        <a:noFill/>
        <a:ln w="9525">
          <a:solidFill>
            <a:srgbClr val="000000"/>
          </a:solidFill>
          <a:round/>
          <a:headEnd/>
          <a:tailEnd type="arrow" w="med" len="med"/>
        </a:ln>
      </xdr:spPr>
    </xdr:sp>
    <xdr:clientData/>
  </xdr:twoCellAnchor>
  <xdr:twoCellAnchor>
    <xdr:from>
      <xdr:col>2</xdr:col>
      <xdr:colOff>161925</xdr:colOff>
      <xdr:row>238</xdr:row>
      <xdr:rowOff>76200</xdr:rowOff>
    </xdr:from>
    <xdr:to>
      <xdr:col>2</xdr:col>
      <xdr:colOff>161925</xdr:colOff>
      <xdr:row>239</xdr:row>
      <xdr:rowOff>66675</xdr:rowOff>
    </xdr:to>
    <xdr:sp macro="" textlink="">
      <xdr:nvSpPr>
        <xdr:cNvPr id="3124" name="Line 8974">
          <a:extLst>
            <a:ext uri="{FF2B5EF4-FFF2-40B4-BE49-F238E27FC236}">
              <a16:creationId xmlns:a16="http://schemas.microsoft.com/office/drawing/2014/main" id="{00000000-0008-0000-0000-0000340C0000}"/>
            </a:ext>
          </a:extLst>
        </xdr:cNvPr>
        <xdr:cNvSpPr>
          <a:spLocks noChangeShapeType="1"/>
        </xdr:cNvSpPr>
      </xdr:nvSpPr>
      <xdr:spPr bwMode="auto">
        <a:xfrm rot="16200000" flipH="1">
          <a:off x="1290637" y="38180963"/>
          <a:ext cx="180975" cy="0"/>
        </a:xfrm>
        <a:prstGeom prst="line">
          <a:avLst/>
        </a:prstGeom>
        <a:noFill/>
        <a:ln w="9525">
          <a:solidFill>
            <a:srgbClr val="000000"/>
          </a:solidFill>
          <a:round/>
          <a:headEnd/>
          <a:tailEnd type="arrow" w="med" len="med"/>
        </a:ln>
      </xdr:spPr>
    </xdr:sp>
    <xdr:clientData/>
  </xdr:twoCellAnchor>
  <xdr:twoCellAnchor>
    <xdr:from>
      <xdr:col>2</xdr:col>
      <xdr:colOff>257175</xdr:colOff>
      <xdr:row>238</xdr:row>
      <xdr:rowOff>66675</xdr:rowOff>
    </xdr:from>
    <xdr:to>
      <xdr:col>2</xdr:col>
      <xdr:colOff>257175</xdr:colOff>
      <xdr:row>239</xdr:row>
      <xdr:rowOff>66675</xdr:rowOff>
    </xdr:to>
    <xdr:sp macro="" textlink="">
      <xdr:nvSpPr>
        <xdr:cNvPr id="3125" name="Line 8975">
          <a:extLst>
            <a:ext uri="{FF2B5EF4-FFF2-40B4-BE49-F238E27FC236}">
              <a16:creationId xmlns:a16="http://schemas.microsoft.com/office/drawing/2014/main" id="{00000000-0008-0000-0000-0000350C0000}"/>
            </a:ext>
          </a:extLst>
        </xdr:cNvPr>
        <xdr:cNvSpPr>
          <a:spLocks noChangeShapeType="1"/>
        </xdr:cNvSpPr>
      </xdr:nvSpPr>
      <xdr:spPr bwMode="auto">
        <a:xfrm rot="16200000" flipH="1">
          <a:off x="1381125" y="38176200"/>
          <a:ext cx="190500" cy="0"/>
        </a:xfrm>
        <a:prstGeom prst="line">
          <a:avLst/>
        </a:prstGeom>
        <a:noFill/>
        <a:ln w="9525">
          <a:solidFill>
            <a:srgbClr val="000000"/>
          </a:solidFill>
          <a:round/>
          <a:headEnd/>
          <a:tailEnd type="arrow" w="med" len="med"/>
        </a:ln>
      </xdr:spPr>
    </xdr:sp>
    <xdr:clientData/>
  </xdr:twoCellAnchor>
  <xdr:twoCellAnchor>
    <xdr:from>
      <xdr:col>2</xdr:col>
      <xdr:colOff>361950</xdr:colOff>
      <xdr:row>238</xdr:row>
      <xdr:rowOff>66675</xdr:rowOff>
    </xdr:from>
    <xdr:to>
      <xdr:col>2</xdr:col>
      <xdr:colOff>361950</xdr:colOff>
      <xdr:row>239</xdr:row>
      <xdr:rowOff>66675</xdr:rowOff>
    </xdr:to>
    <xdr:sp macro="" textlink="">
      <xdr:nvSpPr>
        <xdr:cNvPr id="3126" name="Line 8976">
          <a:extLst>
            <a:ext uri="{FF2B5EF4-FFF2-40B4-BE49-F238E27FC236}">
              <a16:creationId xmlns:a16="http://schemas.microsoft.com/office/drawing/2014/main" id="{00000000-0008-0000-0000-0000360C0000}"/>
            </a:ext>
          </a:extLst>
        </xdr:cNvPr>
        <xdr:cNvSpPr>
          <a:spLocks noChangeShapeType="1"/>
        </xdr:cNvSpPr>
      </xdr:nvSpPr>
      <xdr:spPr bwMode="auto">
        <a:xfrm rot="16200000" flipH="1">
          <a:off x="1485900" y="38176200"/>
          <a:ext cx="190500" cy="0"/>
        </a:xfrm>
        <a:prstGeom prst="line">
          <a:avLst/>
        </a:prstGeom>
        <a:noFill/>
        <a:ln w="9525">
          <a:solidFill>
            <a:srgbClr val="000000"/>
          </a:solidFill>
          <a:round/>
          <a:headEnd/>
          <a:tailEnd type="arrow" w="med" len="med"/>
        </a:ln>
      </xdr:spPr>
    </xdr:sp>
    <xdr:clientData/>
  </xdr:twoCellAnchor>
  <xdr:twoCellAnchor>
    <xdr:from>
      <xdr:col>2</xdr:col>
      <xdr:colOff>457200</xdr:colOff>
      <xdr:row>238</xdr:row>
      <xdr:rowOff>66675</xdr:rowOff>
    </xdr:from>
    <xdr:to>
      <xdr:col>2</xdr:col>
      <xdr:colOff>457200</xdr:colOff>
      <xdr:row>239</xdr:row>
      <xdr:rowOff>66675</xdr:rowOff>
    </xdr:to>
    <xdr:sp macro="" textlink="">
      <xdr:nvSpPr>
        <xdr:cNvPr id="3127" name="Line 8977">
          <a:extLst>
            <a:ext uri="{FF2B5EF4-FFF2-40B4-BE49-F238E27FC236}">
              <a16:creationId xmlns:a16="http://schemas.microsoft.com/office/drawing/2014/main" id="{00000000-0008-0000-0000-0000370C0000}"/>
            </a:ext>
          </a:extLst>
        </xdr:cNvPr>
        <xdr:cNvSpPr>
          <a:spLocks noChangeShapeType="1"/>
        </xdr:cNvSpPr>
      </xdr:nvSpPr>
      <xdr:spPr bwMode="auto">
        <a:xfrm rot="16200000" flipH="1">
          <a:off x="1581150" y="38176200"/>
          <a:ext cx="190500" cy="0"/>
        </a:xfrm>
        <a:prstGeom prst="line">
          <a:avLst/>
        </a:prstGeom>
        <a:noFill/>
        <a:ln w="9525">
          <a:solidFill>
            <a:srgbClr val="000000"/>
          </a:solidFill>
          <a:round/>
          <a:headEnd/>
          <a:tailEnd type="arrow" w="med" len="med"/>
        </a:ln>
      </xdr:spPr>
    </xdr:sp>
    <xdr:clientData/>
  </xdr:twoCellAnchor>
  <xdr:twoCellAnchor>
    <xdr:from>
      <xdr:col>2</xdr:col>
      <xdr:colOff>561975</xdr:colOff>
      <xdr:row>238</xdr:row>
      <xdr:rowOff>66675</xdr:rowOff>
    </xdr:from>
    <xdr:to>
      <xdr:col>2</xdr:col>
      <xdr:colOff>561975</xdr:colOff>
      <xdr:row>239</xdr:row>
      <xdr:rowOff>66675</xdr:rowOff>
    </xdr:to>
    <xdr:sp macro="" textlink="">
      <xdr:nvSpPr>
        <xdr:cNvPr id="3128" name="Line 8978">
          <a:extLst>
            <a:ext uri="{FF2B5EF4-FFF2-40B4-BE49-F238E27FC236}">
              <a16:creationId xmlns:a16="http://schemas.microsoft.com/office/drawing/2014/main" id="{00000000-0008-0000-0000-0000380C0000}"/>
            </a:ext>
          </a:extLst>
        </xdr:cNvPr>
        <xdr:cNvSpPr>
          <a:spLocks noChangeShapeType="1"/>
        </xdr:cNvSpPr>
      </xdr:nvSpPr>
      <xdr:spPr bwMode="auto">
        <a:xfrm rot="16200000" flipH="1">
          <a:off x="1685925" y="38176200"/>
          <a:ext cx="190500" cy="0"/>
        </a:xfrm>
        <a:prstGeom prst="line">
          <a:avLst/>
        </a:prstGeom>
        <a:noFill/>
        <a:ln w="9525">
          <a:solidFill>
            <a:srgbClr val="000000"/>
          </a:solidFill>
          <a:round/>
          <a:headEnd/>
          <a:tailEnd type="arrow" w="med" len="med"/>
        </a:ln>
      </xdr:spPr>
    </xdr:sp>
    <xdr:clientData/>
  </xdr:twoCellAnchor>
  <xdr:twoCellAnchor>
    <xdr:from>
      <xdr:col>3</xdr:col>
      <xdr:colOff>47625</xdr:colOff>
      <xdr:row>238</xdr:row>
      <xdr:rowOff>66675</xdr:rowOff>
    </xdr:from>
    <xdr:to>
      <xdr:col>3</xdr:col>
      <xdr:colOff>47625</xdr:colOff>
      <xdr:row>239</xdr:row>
      <xdr:rowOff>66675</xdr:rowOff>
    </xdr:to>
    <xdr:sp macro="" textlink="">
      <xdr:nvSpPr>
        <xdr:cNvPr id="3129" name="Line 8979">
          <a:extLst>
            <a:ext uri="{FF2B5EF4-FFF2-40B4-BE49-F238E27FC236}">
              <a16:creationId xmlns:a16="http://schemas.microsoft.com/office/drawing/2014/main" id="{00000000-0008-0000-0000-0000390C0000}"/>
            </a:ext>
          </a:extLst>
        </xdr:cNvPr>
        <xdr:cNvSpPr>
          <a:spLocks noChangeShapeType="1"/>
        </xdr:cNvSpPr>
      </xdr:nvSpPr>
      <xdr:spPr bwMode="auto">
        <a:xfrm rot="16200000" flipH="1">
          <a:off x="1800225" y="38176200"/>
          <a:ext cx="190500" cy="0"/>
        </a:xfrm>
        <a:prstGeom prst="line">
          <a:avLst/>
        </a:prstGeom>
        <a:noFill/>
        <a:ln w="9525">
          <a:solidFill>
            <a:srgbClr val="000000"/>
          </a:solidFill>
          <a:round/>
          <a:headEnd/>
          <a:tailEnd type="arrow" w="med" len="med"/>
        </a:ln>
      </xdr:spPr>
    </xdr:sp>
    <xdr:clientData/>
  </xdr:twoCellAnchor>
  <xdr:twoCellAnchor>
    <xdr:from>
      <xdr:col>3</xdr:col>
      <xdr:colOff>152400</xdr:colOff>
      <xdr:row>238</xdr:row>
      <xdr:rowOff>66675</xdr:rowOff>
    </xdr:from>
    <xdr:to>
      <xdr:col>3</xdr:col>
      <xdr:colOff>152400</xdr:colOff>
      <xdr:row>239</xdr:row>
      <xdr:rowOff>66675</xdr:rowOff>
    </xdr:to>
    <xdr:sp macro="" textlink="">
      <xdr:nvSpPr>
        <xdr:cNvPr id="3130" name="Line 8980">
          <a:extLst>
            <a:ext uri="{FF2B5EF4-FFF2-40B4-BE49-F238E27FC236}">
              <a16:creationId xmlns:a16="http://schemas.microsoft.com/office/drawing/2014/main" id="{00000000-0008-0000-0000-00003A0C0000}"/>
            </a:ext>
          </a:extLst>
        </xdr:cNvPr>
        <xdr:cNvSpPr>
          <a:spLocks noChangeShapeType="1"/>
        </xdr:cNvSpPr>
      </xdr:nvSpPr>
      <xdr:spPr bwMode="auto">
        <a:xfrm rot="16200000" flipH="1">
          <a:off x="1905000" y="38176200"/>
          <a:ext cx="190500" cy="0"/>
        </a:xfrm>
        <a:prstGeom prst="line">
          <a:avLst/>
        </a:prstGeom>
        <a:noFill/>
        <a:ln w="9525">
          <a:solidFill>
            <a:srgbClr val="000000"/>
          </a:solidFill>
          <a:round/>
          <a:headEnd/>
          <a:tailEnd type="arrow" w="med" len="med"/>
        </a:ln>
      </xdr:spPr>
    </xdr:sp>
    <xdr:clientData/>
  </xdr:twoCellAnchor>
  <xdr:twoCellAnchor>
    <xdr:from>
      <xdr:col>3</xdr:col>
      <xdr:colOff>257175</xdr:colOff>
      <xdr:row>238</xdr:row>
      <xdr:rowOff>66675</xdr:rowOff>
    </xdr:from>
    <xdr:to>
      <xdr:col>3</xdr:col>
      <xdr:colOff>257175</xdr:colOff>
      <xdr:row>239</xdr:row>
      <xdr:rowOff>66675</xdr:rowOff>
    </xdr:to>
    <xdr:sp macro="" textlink="">
      <xdr:nvSpPr>
        <xdr:cNvPr id="3131" name="Line 8981">
          <a:extLst>
            <a:ext uri="{FF2B5EF4-FFF2-40B4-BE49-F238E27FC236}">
              <a16:creationId xmlns:a16="http://schemas.microsoft.com/office/drawing/2014/main" id="{00000000-0008-0000-0000-00003B0C0000}"/>
            </a:ext>
          </a:extLst>
        </xdr:cNvPr>
        <xdr:cNvSpPr>
          <a:spLocks noChangeShapeType="1"/>
        </xdr:cNvSpPr>
      </xdr:nvSpPr>
      <xdr:spPr bwMode="auto">
        <a:xfrm rot="16200000" flipH="1">
          <a:off x="2009775" y="38176200"/>
          <a:ext cx="190500" cy="0"/>
        </a:xfrm>
        <a:prstGeom prst="line">
          <a:avLst/>
        </a:prstGeom>
        <a:noFill/>
        <a:ln w="9525">
          <a:solidFill>
            <a:srgbClr val="000000"/>
          </a:solidFill>
          <a:round/>
          <a:headEnd/>
          <a:tailEnd type="arrow" w="med" len="med"/>
        </a:ln>
      </xdr:spPr>
    </xdr:sp>
    <xdr:clientData/>
  </xdr:twoCellAnchor>
  <xdr:twoCellAnchor>
    <xdr:from>
      <xdr:col>3</xdr:col>
      <xdr:colOff>352425</xdr:colOff>
      <xdr:row>238</xdr:row>
      <xdr:rowOff>66675</xdr:rowOff>
    </xdr:from>
    <xdr:to>
      <xdr:col>3</xdr:col>
      <xdr:colOff>352425</xdr:colOff>
      <xdr:row>239</xdr:row>
      <xdr:rowOff>66675</xdr:rowOff>
    </xdr:to>
    <xdr:sp macro="" textlink="">
      <xdr:nvSpPr>
        <xdr:cNvPr id="3132" name="Line 8982">
          <a:extLst>
            <a:ext uri="{FF2B5EF4-FFF2-40B4-BE49-F238E27FC236}">
              <a16:creationId xmlns:a16="http://schemas.microsoft.com/office/drawing/2014/main" id="{00000000-0008-0000-0000-00003C0C0000}"/>
            </a:ext>
          </a:extLst>
        </xdr:cNvPr>
        <xdr:cNvSpPr>
          <a:spLocks noChangeShapeType="1"/>
        </xdr:cNvSpPr>
      </xdr:nvSpPr>
      <xdr:spPr bwMode="auto">
        <a:xfrm rot="16200000" flipH="1">
          <a:off x="2105025" y="38176200"/>
          <a:ext cx="190500" cy="0"/>
        </a:xfrm>
        <a:prstGeom prst="line">
          <a:avLst/>
        </a:prstGeom>
        <a:noFill/>
        <a:ln w="9525">
          <a:solidFill>
            <a:srgbClr val="000000"/>
          </a:solidFill>
          <a:round/>
          <a:headEnd/>
          <a:tailEnd type="arrow" w="med" len="med"/>
        </a:ln>
      </xdr:spPr>
    </xdr:sp>
    <xdr:clientData/>
  </xdr:twoCellAnchor>
  <xdr:twoCellAnchor>
    <xdr:from>
      <xdr:col>3</xdr:col>
      <xdr:colOff>447675</xdr:colOff>
      <xdr:row>238</xdr:row>
      <xdr:rowOff>66675</xdr:rowOff>
    </xdr:from>
    <xdr:to>
      <xdr:col>3</xdr:col>
      <xdr:colOff>447675</xdr:colOff>
      <xdr:row>239</xdr:row>
      <xdr:rowOff>66675</xdr:rowOff>
    </xdr:to>
    <xdr:sp macro="" textlink="">
      <xdr:nvSpPr>
        <xdr:cNvPr id="3133" name="Line 8983">
          <a:extLst>
            <a:ext uri="{FF2B5EF4-FFF2-40B4-BE49-F238E27FC236}">
              <a16:creationId xmlns:a16="http://schemas.microsoft.com/office/drawing/2014/main" id="{00000000-0008-0000-0000-00003D0C0000}"/>
            </a:ext>
          </a:extLst>
        </xdr:cNvPr>
        <xdr:cNvSpPr>
          <a:spLocks noChangeShapeType="1"/>
        </xdr:cNvSpPr>
      </xdr:nvSpPr>
      <xdr:spPr bwMode="auto">
        <a:xfrm rot="16200000" flipH="1">
          <a:off x="2200275" y="38176200"/>
          <a:ext cx="190500" cy="0"/>
        </a:xfrm>
        <a:prstGeom prst="line">
          <a:avLst/>
        </a:prstGeom>
        <a:noFill/>
        <a:ln w="9525">
          <a:solidFill>
            <a:srgbClr val="000000"/>
          </a:solidFill>
          <a:round/>
          <a:headEnd/>
          <a:tailEnd type="arrow" w="med" len="med"/>
        </a:ln>
      </xdr:spPr>
    </xdr:sp>
    <xdr:clientData/>
  </xdr:twoCellAnchor>
  <xdr:twoCellAnchor>
    <xdr:from>
      <xdr:col>3</xdr:col>
      <xdr:colOff>561975</xdr:colOff>
      <xdr:row>238</xdr:row>
      <xdr:rowOff>66675</xdr:rowOff>
    </xdr:from>
    <xdr:to>
      <xdr:col>3</xdr:col>
      <xdr:colOff>561975</xdr:colOff>
      <xdr:row>239</xdr:row>
      <xdr:rowOff>66675</xdr:rowOff>
    </xdr:to>
    <xdr:sp macro="" textlink="">
      <xdr:nvSpPr>
        <xdr:cNvPr id="3134" name="Line 8984">
          <a:extLst>
            <a:ext uri="{FF2B5EF4-FFF2-40B4-BE49-F238E27FC236}">
              <a16:creationId xmlns:a16="http://schemas.microsoft.com/office/drawing/2014/main" id="{00000000-0008-0000-0000-00003E0C0000}"/>
            </a:ext>
          </a:extLst>
        </xdr:cNvPr>
        <xdr:cNvSpPr>
          <a:spLocks noChangeShapeType="1"/>
        </xdr:cNvSpPr>
      </xdr:nvSpPr>
      <xdr:spPr bwMode="auto">
        <a:xfrm rot="16200000" flipH="1">
          <a:off x="2314575" y="38176200"/>
          <a:ext cx="190500" cy="0"/>
        </a:xfrm>
        <a:prstGeom prst="line">
          <a:avLst/>
        </a:prstGeom>
        <a:noFill/>
        <a:ln w="9525">
          <a:solidFill>
            <a:srgbClr val="000000"/>
          </a:solidFill>
          <a:round/>
          <a:headEnd/>
          <a:tailEnd type="arrow" w="med" len="med"/>
        </a:ln>
      </xdr:spPr>
    </xdr:sp>
    <xdr:clientData/>
  </xdr:twoCellAnchor>
  <xdr:twoCellAnchor>
    <xdr:from>
      <xdr:col>1</xdr:col>
      <xdr:colOff>424020</xdr:colOff>
      <xdr:row>241</xdr:row>
      <xdr:rowOff>42988</xdr:rowOff>
    </xdr:from>
    <xdr:to>
      <xdr:col>2</xdr:col>
      <xdr:colOff>247650</xdr:colOff>
      <xdr:row>241</xdr:row>
      <xdr:rowOff>177424</xdr:rowOff>
    </xdr:to>
    <xdr:sp macro="" textlink="">
      <xdr:nvSpPr>
        <xdr:cNvPr id="1336" name="Right Brace 1335">
          <a:extLst>
            <a:ext uri="{FF2B5EF4-FFF2-40B4-BE49-F238E27FC236}">
              <a16:creationId xmlns:a16="http://schemas.microsoft.com/office/drawing/2014/main" id="{00000000-0008-0000-0000-000038050000}"/>
            </a:ext>
          </a:extLst>
        </xdr:cNvPr>
        <xdr:cNvSpPr/>
      </xdr:nvSpPr>
      <xdr:spPr>
        <a:xfrm rot="5400000">
          <a:off x="1183017" y="36907741"/>
          <a:ext cx="134436" cy="43323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clientData/>
  </xdr:twoCellAnchor>
  <xdr:twoCellAnchor>
    <xdr:from>
      <xdr:col>1</xdr:col>
      <xdr:colOff>228600</xdr:colOff>
      <xdr:row>241</xdr:row>
      <xdr:rowOff>124402</xdr:rowOff>
    </xdr:from>
    <xdr:to>
      <xdr:col>3</xdr:col>
      <xdr:colOff>133350</xdr:colOff>
      <xdr:row>243</xdr:row>
      <xdr:rowOff>64407</xdr:rowOff>
    </xdr:to>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a:off x="838200" y="37138552"/>
          <a:ext cx="1123950" cy="36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Σ</a:t>
          </a:r>
          <a:r>
            <a:rPr lang="en-US" sz="1100"/>
            <a:t> V + </a:t>
          </a:r>
          <a:r>
            <a:rPr lang="en-US" sz="1100" baseline="0"/>
            <a:t> Surcharge</a:t>
          </a:r>
          <a:endParaRPr lang="en-IN" sz="1100"/>
        </a:p>
      </xdr:txBody>
    </xdr:sp>
    <xdr:clientData/>
  </xdr:twoCellAnchor>
  <xdr:twoCellAnchor>
    <xdr:from>
      <xdr:col>1</xdr:col>
      <xdr:colOff>427831</xdr:colOff>
      <xdr:row>243</xdr:row>
      <xdr:rowOff>96044</xdr:rowOff>
    </xdr:from>
    <xdr:to>
      <xdr:col>1</xdr:col>
      <xdr:colOff>429419</xdr:colOff>
      <xdr:row>246</xdr:row>
      <xdr:rowOff>96044</xdr:rowOff>
    </xdr:to>
    <xdr:cxnSp macro="">
      <xdr:nvCxnSpPr>
        <xdr:cNvPr id="1342" name="Straight Connector 1341">
          <a:extLst>
            <a:ext uri="{FF2B5EF4-FFF2-40B4-BE49-F238E27FC236}">
              <a16:creationId xmlns:a16="http://schemas.microsoft.com/office/drawing/2014/main" id="{00000000-0008-0000-0000-00003E050000}"/>
            </a:ext>
          </a:extLst>
        </xdr:cNvPr>
        <xdr:cNvCxnSpPr/>
      </xdr:nvCxnSpPr>
      <xdr:spPr>
        <a:xfrm rot="5400000">
          <a:off x="752475" y="37823775"/>
          <a:ext cx="5715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227806</xdr:colOff>
      <xdr:row>244</xdr:row>
      <xdr:rowOff>105569</xdr:rowOff>
    </xdr:from>
    <xdr:to>
      <xdr:col>1</xdr:col>
      <xdr:colOff>229394</xdr:colOff>
      <xdr:row>246</xdr:row>
      <xdr:rowOff>86519</xdr:rowOff>
    </xdr:to>
    <xdr:cxnSp macro="">
      <xdr:nvCxnSpPr>
        <xdr:cNvPr id="1344" name="Straight Connector 1343">
          <a:extLst>
            <a:ext uri="{FF2B5EF4-FFF2-40B4-BE49-F238E27FC236}">
              <a16:creationId xmlns:a16="http://schemas.microsoft.com/office/drawing/2014/main" id="{00000000-0008-0000-0000-000040050000}"/>
            </a:ext>
          </a:extLst>
        </xdr:cNvPr>
        <xdr:cNvCxnSpPr/>
      </xdr:nvCxnSpPr>
      <xdr:spPr>
        <a:xfrm rot="5400000">
          <a:off x="657225" y="37919025"/>
          <a:ext cx="361950" cy="158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18256</xdr:colOff>
      <xdr:row>244</xdr:row>
      <xdr:rowOff>115094</xdr:rowOff>
    </xdr:from>
    <xdr:to>
      <xdr:col>2</xdr:col>
      <xdr:colOff>19844</xdr:colOff>
      <xdr:row>246</xdr:row>
      <xdr:rowOff>96044</xdr:rowOff>
    </xdr:to>
    <xdr:cxnSp macro="">
      <xdr:nvCxnSpPr>
        <xdr:cNvPr id="1345" name="Straight Connector 1344">
          <a:extLst>
            <a:ext uri="{FF2B5EF4-FFF2-40B4-BE49-F238E27FC236}">
              <a16:creationId xmlns:a16="http://schemas.microsoft.com/office/drawing/2014/main" id="{00000000-0008-0000-0000-000041050000}"/>
            </a:ext>
          </a:extLst>
        </xdr:cNvPr>
        <xdr:cNvCxnSpPr/>
      </xdr:nvCxnSpPr>
      <xdr:spPr>
        <a:xfrm rot="5400000">
          <a:off x="1057275" y="37928550"/>
          <a:ext cx="361950" cy="158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245</xdr:row>
      <xdr:rowOff>47625</xdr:rowOff>
    </xdr:from>
    <xdr:to>
      <xdr:col>1</xdr:col>
      <xdr:colOff>485775</xdr:colOff>
      <xdr:row>246</xdr:row>
      <xdr:rowOff>123825</xdr:rowOff>
    </xdr:to>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a:off x="819150" y="37871400"/>
          <a:ext cx="2762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e</a:t>
          </a:r>
        </a:p>
      </xdr:txBody>
    </xdr:sp>
    <xdr:clientData/>
  </xdr:twoCellAnchor>
  <xdr:twoCellAnchor>
    <xdr:from>
      <xdr:col>3</xdr:col>
      <xdr:colOff>209550</xdr:colOff>
      <xdr:row>239</xdr:row>
      <xdr:rowOff>205848</xdr:rowOff>
    </xdr:from>
    <xdr:to>
      <xdr:col>3</xdr:col>
      <xdr:colOff>581025</xdr:colOff>
      <xdr:row>245</xdr:row>
      <xdr:rowOff>72498</xdr:rowOff>
    </xdr:to>
    <xdr:sp macro="" textlink="">
      <xdr:nvSpPr>
        <xdr:cNvPr id="1348" name="Rectangle 1347">
          <a:extLst>
            <a:ext uri="{FF2B5EF4-FFF2-40B4-BE49-F238E27FC236}">
              <a16:creationId xmlns:a16="http://schemas.microsoft.com/office/drawing/2014/main" id="{00000000-0008-0000-0000-000044050000}"/>
            </a:ext>
          </a:extLst>
        </xdr:cNvPr>
        <xdr:cNvSpPr/>
      </xdr:nvSpPr>
      <xdr:spPr>
        <a:xfrm>
          <a:off x="2038350" y="36743748"/>
          <a:ext cx="371475" cy="1152525"/>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3</xdr:col>
      <xdr:colOff>200025</xdr:colOff>
      <xdr:row>240</xdr:row>
      <xdr:rowOff>38100</xdr:rowOff>
    </xdr:from>
    <xdr:to>
      <xdr:col>3</xdr:col>
      <xdr:colOff>523875</xdr:colOff>
      <xdr:row>245</xdr:row>
      <xdr:rowOff>9525</xdr:rowOff>
    </xdr:to>
    <xdr:grpSp>
      <xdr:nvGrpSpPr>
        <xdr:cNvPr id="3142" name="Group 1348">
          <a:extLst>
            <a:ext uri="{FF2B5EF4-FFF2-40B4-BE49-F238E27FC236}">
              <a16:creationId xmlns:a16="http://schemas.microsoft.com/office/drawing/2014/main" id="{00000000-0008-0000-0000-0000460C0000}"/>
            </a:ext>
          </a:extLst>
        </xdr:cNvPr>
        <xdr:cNvGrpSpPr>
          <a:grpSpLocks/>
        </xdr:cNvGrpSpPr>
      </xdr:nvGrpSpPr>
      <xdr:grpSpPr bwMode="auto">
        <a:xfrm>
          <a:off x="2047875" y="47882175"/>
          <a:ext cx="323850" cy="1019175"/>
          <a:chOff x="1717183" y="32247948"/>
          <a:chExt cx="322289" cy="1018415"/>
        </a:xfrm>
      </xdr:grpSpPr>
      <xdr:sp macro="" textlink="">
        <xdr:nvSpPr>
          <xdr:cNvPr id="3688" name="Line 8973">
            <a:extLst>
              <a:ext uri="{FF2B5EF4-FFF2-40B4-BE49-F238E27FC236}">
                <a16:creationId xmlns:a16="http://schemas.microsoft.com/office/drawing/2014/main" id="{00000000-0008-0000-0000-0000680E0000}"/>
              </a:ext>
            </a:extLst>
          </xdr:cNvPr>
          <xdr:cNvSpPr>
            <a:spLocks noChangeShapeType="1"/>
          </xdr:cNvSpPr>
        </xdr:nvSpPr>
        <xdr:spPr bwMode="auto">
          <a:xfrm flipH="1">
            <a:off x="1717183" y="32247948"/>
            <a:ext cx="310128" cy="0"/>
          </a:xfrm>
          <a:prstGeom prst="line">
            <a:avLst/>
          </a:prstGeom>
          <a:noFill/>
          <a:ln w="9525">
            <a:solidFill>
              <a:srgbClr val="000000"/>
            </a:solidFill>
            <a:round/>
            <a:headEnd/>
            <a:tailEnd type="arrow" w="med" len="med"/>
          </a:ln>
        </xdr:spPr>
      </xdr:sp>
      <xdr:sp macro="" textlink="">
        <xdr:nvSpPr>
          <xdr:cNvPr id="3689" name="Line 8975">
            <a:extLst>
              <a:ext uri="{FF2B5EF4-FFF2-40B4-BE49-F238E27FC236}">
                <a16:creationId xmlns:a16="http://schemas.microsoft.com/office/drawing/2014/main" id="{00000000-0008-0000-0000-0000690E0000}"/>
              </a:ext>
            </a:extLst>
          </xdr:cNvPr>
          <xdr:cNvSpPr>
            <a:spLocks noChangeShapeType="1"/>
          </xdr:cNvSpPr>
        </xdr:nvSpPr>
        <xdr:spPr bwMode="auto">
          <a:xfrm flipH="1">
            <a:off x="1723263" y="32342401"/>
            <a:ext cx="310128" cy="0"/>
          </a:xfrm>
          <a:prstGeom prst="line">
            <a:avLst/>
          </a:prstGeom>
          <a:noFill/>
          <a:ln w="9525">
            <a:solidFill>
              <a:srgbClr val="000000"/>
            </a:solidFill>
            <a:round/>
            <a:headEnd/>
            <a:tailEnd type="arrow" w="med" len="med"/>
          </a:ln>
        </xdr:spPr>
      </xdr:sp>
      <xdr:sp macro="" textlink="">
        <xdr:nvSpPr>
          <xdr:cNvPr id="3690" name="Line 8977">
            <a:extLst>
              <a:ext uri="{FF2B5EF4-FFF2-40B4-BE49-F238E27FC236}">
                <a16:creationId xmlns:a16="http://schemas.microsoft.com/office/drawing/2014/main" id="{00000000-0008-0000-0000-00006A0E0000}"/>
              </a:ext>
            </a:extLst>
          </xdr:cNvPr>
          <xdr:cNvSpPr>
            <a:spLocks noChangeShapeType="1"/>
          </xdr:cNvSpPr>
        </xdr:nvSpPr>
        <xdr:spPr bwMode="auto">
          <a:xfrm flipH="1">
            <a:off x="1723263" y="32436854"/>
            <a:ext cx="310128" cy="0"/>
          </a:xfrm>
          <a:prstGeom prst="line">
            <a:avLst/>
          </a:prstGeom>
          <a:noFill/>
          <a:ln w="9525">
            <a:solidFill>
              <a:srgbClr val="000000"/>
            </a:solidFill>
            <a:round/>
            <a:headEnd/>
            <a:tailEnd type="arrow" w="med" len="med"/>
          </a:ln>
        </xdr:spPr>
      </xdr:sp>
      <xdr:sp macro="" textlink="">
        <xdr:nvSpPr>
          <xdr:cNvPr id="3691" name="Line 8978">
            <a:extLst>
              <a:ext uri="{FF2B5EF4-FFF2-40B4-BE49-F238E27FC236}">
                <a16:creationId xmlns:a16="http://schemas.microsoft.com/office/drawing/2014/main" id="{00000000-0008-0000-0000-00006B0E0000}"/>
              </a:ext>
            </a:extLst>
          </xdr:cNvPr>
          <xdr:cNvSpPr>
            <a:spLocks noChangeShapeType="1"/>
          </xdr:cNvSpPr>
        </xdr:nvSpPr>
        <xdr:spPr bwMode="auto">
          <a:xfrm flipH="1">
            <a:off x="1723263" y="32523703"/>
            <a:ext cx="310128" cy="0"/>
          </a:xfrm>
          <a:prstGeom prst="line">
            <a:avLst/>
          </a:prstGeom>
          <a:noFill/>
          <a:ln w="9525">
            <a:solidFill>
              <a:srgbClr val="000000"/>
            </a:solidFill>
            <a:round/>
            <a:headEnd/>
            <a:tailEnd type="arrow" w="med" len="med"/>
          </a:ln>
        </xdr:spPr>
      </xdr:sp>
      <xdr:sp macro="" textlink="">
        <xdr:nvSpPr>
          <xdr:cNvPr id="3692" name="Line 8980">
            <a:extLst>
              <a:ext uri="{FF2B5EF4-FFF2-40B4-BE49-F238E27FC236}">
                <a16:creationId xmlns:a16="http://schemas.microsoft.com/office/drawing/2014/main" id="{00000000-0008-0000-0000-00006C0E0000}"/>
              </a:ext>
            </a:extLst>
          </xdr:cNvPr>
          <xdr:cNvSpPr>
            <a:spLocks noChangeShapeType="1"/>
          </xdr:cNvSpPr>
        </xdr:nvSpPr>
        <xdr:spPr bwMode="auto">
          <a:xfrm flipH="1">
            <a:off x="1723263" y="32609138"/>
            <a:ext cx="310128" cy="0"/>
          </a:xfrm>
          <a:prstGeom prst="line">
            <a:avLst/>
          </a:prstGeom>
          <a:noFill/>
          <a:ln w="9525">
            <a:solidFill>
              <a:srgbClr val="000000"/>
            </a:solidFill>
            <a:round/>
            <a:headEnd/>
            <a:tailEnd type="arrow" w="med" len="med"/>
          </a:ln>
        </xdr:spPr>
      </xdr:sp>
      <xdr:sp macro="" textlink="">
        <xdr:nvSpPr>
          <xdr:cNvPr id="3693" name="Line 8982">
            <a:extLst>
              <a:ext uri="{FF2B5EF4-FFF2-40B4-BE49-F238E27FC236}">
                <a16:creationId xmlns:a16="http://schemas.microsoft.com/office/drawing/2014/main" id="{00000000-0008-0000-0000-00006D0E0000}"/>
              </a:ext>
            </a:extLst>
          </xdr:cNvPr>
          <xdr:cNvSpPr>
            <a:spLocks noChangeShapeType="1"/>
          </xdr:cNvSpPr>
        </xdr:nvSpPr>
        <xdr:spPr bwMode="auto">
          <a:xfrm flipH="1">
            <a:off x="1729344" y="32703591"/>
            <a:ext cx="310128" cy="0"/>
          </a:xfrm>
          <a:prstGeom prst="line">
            <a:avLst/>
          </a:prstGeom>
          <a:noFill/>
          <a:ln w="9525">
            <a:solidFill>
              <a:srgbClr val="000000"/>
            </a:solidFill>
            <a:round/>
            <a:headEnd/>
            <a:tailEnd type="arrow" w="med" len="med"/>
          </a:ln>
        </xdr:spPr>
      </xdr:sp>
      <xdr:sp macro="" textlink="">
        <xdr:nvSpPr>
          <xdr:cNvPr id="3694" name="Line 8984">
            <a:extLst>
              <a:ext uri="{FF2B5EF4-FFF2-40B4-BE49-F238E27FC236}">
                <a16:creationId xmlns:a16="http://schemas.microsoft.com/office/drawing/2014/main" id="{00000000-0008-0000-0000-00006E0E0000}"/>
              </a:ext>
            </a:extLst>
          </xdr:cNvPr>
          <xdr:cNvSpPr>
            <a:spLocks noChangeShapeType="1"/>
          </xdr:cNvSpPr>
        </xdr:nvSpPr>
        <xdr:spPr bwMode="auto">
          <a:xfrm flipH="1">
            <a:off x="1723263" y="32804137"/>
            <a:ext cx="310128" cy="0"/>
          </a:xfrm>
          <a:prstGeom prst="line">
            <a:avLst/>
          </a:prstGeom>
          <a:noFill/>
          <a:ln w="9525">
            <a:solidFill>
              <a:srgbClr val="000000"/>
            </a:solidFill>
            <a:round/>
            <a:headEnd/>
            <a:tailEnd type="arrow" w="med" len="med"/>
          </a:ln>
        </xdr:spPr>
      </xdr:sp>
      <xdr:sp macro="" textlink="">
        <xdr:nvSpPr>
          <xdr:cNvPr id="3695" name="Line 8973">
            <a:extLst>
              <a:ext uri="{FF2B5EF4-FFF2-40B4-BE49-F238E27FC236}">
                <a16:creationId xmlns:a16="http://schemas.microsoft.com/office/drawing/2014/main" id="{00000000-0008-0000-0000-00006F0E0000}"/>
              </a:ext>
            </a:extLst>
          </xdr:cNvPr>
          <xdr:cNvSpPr>
            <a:spLocks noChangeShapeType="1"/>
          </xdr:cNvSpPr>
        </xdr:nvSpPr>
        <xdr:spPr bwMode="auto">
          <a:xfrm flipH="1">
            <a:off x="1717183" y="32905173"/>
            <a:ext cx="310128" cy="0"/>
          </a:xfrm>
          <a:prstGeom prst="line">
            <a:avLst/>
          </a:prstGeom>
          <a:noFill/>
          <a:ln w="9525">
            <a:solidFill>
              <a:srgbClr val="000000"/>
            </a:solidFill>
            <a:round/>
            <a:headEnd/>
            <a:tailEnd type="arrow" w="med" len="med"/>
          </a:ln>
        </xdr:spPr>
      </xdr:sp>
      <xdr:sp macro="" textlink="">
        <xdr:nvSpPr>
          <xdr:cNvPr id="3696" name="Line 8975">
            <a:extLst>
              <a:ext uri="{FF2B5EF4-FFF2-40B4-BE49-F238E27FC236}">
                <a16:creationId xmlns:a16="http://schemas.microsoft.com/office/drawing/2014/main" id="{00000000-0008-0000-0000-0000700E0000}"/>
              </a:ext>
            </a:extLst>
          </xdr:cNvPr>
          <xdr:cNvSpPr>
            <a:spLocks noChangeShapeType="1"/>
          </xdr:cNvSpPr>
        </xdr:nvSpPr>
        <xdr:spPr bwMode="auto">
          <a:xfrm flipH="1">
            <a:off x="1723263" y="32999626"/>
            <a:ext cx="310128" cy="0"/>
          </a:xfrm>
          <a:prstGeom prst="line">
            <a:avLst/>
          </a:prstGeom>
          <a:noFill/>
          <a:ln w="9525">
            <a:solidFill>
              <a:srgbClr val="000000"/>
            </a:solidFill>
            <a:round/>
            <a:headEnd/>
            <a:tailEnd type="arrow" w="med" len="med"/>
          </a:ln>
        </xdr:spPr>
      </xdr:sp>
      <xdr:sp macro="" textlink="">
        <xdr:nvSpPr>
          <xdr:cNvPr id="3697" name="Line 8977">
            <a:extLst>
              <a:ext uri="{FF2B5EF4-FFF2-40B4-BE49-F238E27FC236}">
                <a16:creationId xmlns:a16="http://schemas.microsoft.com/office/drawing/2014/main" id="{00000000-0008-0000-0000-0000710E0000}"/>
              </a:ext>
            </a:extLst>
          </xdr:cNvPr>
          <xdr:cNvSpPr>
            <a:spLocks noChangeShapeType="1"/>
          </xdr:cNvSpPr>
        </xdr:nvSpPr>
        <xdr:spPr bwMode="auto">
          <a:xfrm flipH="1">
            <a:off x="1723263" y="33094079"/>
            <a:ext cx="310128" cy="0"/>
          </a:xfrm>
          <a:prstGeom prst="line">
            <a:avLst/>
          </a:prstGeom>
          <a:noFill/>
          <a:ln w="9525">
            <a:solidFill>
              <a:srgbClr val="000000"/>
            </a:solidFill>
            <a:round/>
            <a:headEnd/>
            <a:tailEnd type="arrow" w="med" len="med"/>
          </a:ln>
        </xdr:spPr>
      </xdr:sp>
      <xdr:sp macro="" textlink="">
        <xdr:nvSpPr>
          <xdr:cNvPr id="3698" name="Line 8978">
            <a:extLst>
              <a:ext uri="{FF2B5EF4-FFF2-40B4-BE49-F238E27FC236}">
                <a16:creationId xmlns:a16="http://schemas.microsoft.com/office/drawing/2014/main" id="{00000000-0008-0000-0000-0000720E0000}"/>
              </a:ext>
            </a:extLst>
          </xdr:cNvPr>
          <xdr:cNvSpPr>
            <a:spLocks noChangeShapeType="1"/>
          </xdr:cNvSpPr>
        </xdr:nvSpPr>
        <xdr:spPr bwMode="auto">
          <a:xfrm flipH="1">
            <a:off x="1723263" y="33180928"/>
            <a:ext cx="310128" cy="0"/>
          </a:xfrm>
          <a:prstGeom prst="line">
            <a:avLst/>
          </a:prstGeom>
          <a:noFill/>
          <a:ln w="9525">
            <a:solidFill>
              <a:srgbClr val="000000"/>
            </a:solidFill>
            <a:round/>
            <a:headEnd/>
            <a:tailEnd type="arrow" w="med" len="med"/>
          </a:ln>
        </xdr:spPr>
      </xdr:sp>
      <xdr:sp macro="" textlink="">
        <xdr:nvSpPr>
          <xdr:cNvPr id="3699" name="Line 8980">
            <a:extLst>
              <a:ext uri="{FF2B5EF4-FFF2-40B4-BE49-F238E27FC236}">
                <a16:creationId xmlns:a16="http://schemas.microsoft.com/office/drawing/2014/main" id="{00000000-0008-0000-0000-0000730E0000}"/>
              </a:ext>
            </a:extLst>
          </xdr:cNvPr>
          <xdr:cNvSpPr>
            <a:spLocks noChangeShapeType="1"/>
          </xdr:cNvSpPr>
        </xdr:nvSpPr>
        <xdr:spPr bwMode="auto">
          <a:xfrm flipH="1">
            <a:off x="1723263" y="33266363"/>
            <a:ext cx="310128" cy="0"/>
          </a:xfrm>
          <a:prstGeom prst="line">
            <a:avLst/>
          </a:prstGeom>
          <a:noFill/>
          <a:ln w="9525">
            <a:solidFill>
              <a:srgbClr val="000000"/>
            </a:solidFill>
            <a:round/>
            <a:headEnd/>
            <a:tailEnd type="arrow" w="med" len="med"/>
          </a:ln>
        </xdr:spPr>
      </xdr:sp>
    </xdr:grpSp>
    <xdr:clientData/>
  </xdr:twoCellAnchor>
  <xdr:twoCellAnchor>
    <xdr:from>
      <xdr:col>4</xdr:col>
      <xdr:colOff>47625</xdr:colOff>
      <xdr:row>240</xdr:row>
      <xdr:rowOff>85725</xdr:rowOff>
    </xdr:from>
    <xdr:to>
      <xdr:col>5</xdr:col>
      <xdr:colOff>85725</xdr:colOff>
      <xdr:row>244</xdr:row>
      <xdr:rowOff>152400</xdr:rowOff>
    </xdr:to>
    <xdr:grpSp>
      <xdr:nvGrpSpPr>
        <xdr:cNvPr id="3143" name="Group 1361">
          <a:extLst>
            <a:ext uri="{FF2B5EF4-FFF2-40B4-BE49-F238E27FC236}">
              <a16:creationId xmlns:a16="http://schemas.microsoft.com/office/drawing/2014/main" id="{00000000-0008-0000-0000-0000470C0000}"/>
            </a:ext>
          </a:extLst>
        </xdr:cNvPr>
        <xdr:cNvGrpSpPr>
          <a:grpSpLocks/>
        </xdr:cNvGrpSpPr>
      </xdr:nvGrpSpPr>
      <xdr:grpSpPr bwMode="auto">
        <a:xfrm>
          <a:off x="2562225" y="47929800"/>
          <a:ext cx="647700" cy="923925"/>
          <a:chOff x="2174383" y="32286048"/>
          <a:chExt cx="640623" cy="928064"/>
        </a:xfrm>
      </xdr:grpSpPr>
      <xdr:sp macro="" textlink="">
        <xdr:nvSpPr>
          <xdr:cNvPr id="3681" name="Line 8987">
            <a:extLst>
              <a:ext uri="{FF2B5EF4-FFF2-40B4-BE49-F238E27FC236}">
                <a16:creationId xmlns:a16="http://schemas.microsoft.com/office/drawing/2014/main" id="{00000000-0008-0000-0000-0000610E0000}"/>
              </a:ext>
            </a:extLst>
          </xdr:cNvPr>
          <xdr:cNvSpPr>
            <a:spLocks noChangeShapeType="1"/>
          </xdr:cNvSpPr>
        </xdr:nvSpPr>
        <xdr:spPr bwMode="auto">
          <a:xfrm flipH="1">
            <a:off x="2174383" y="32286048"/>
            <a:ext cx="134858" cy="0"/>
          </a:xfrm>
          <a:prstGeom prst="line">
            <a:avLst/>
          </a:prstGeom>
          <a:noFill/>
          <a:ln w="9525">
            <a:solidFill>
              <a:srgbClr val="000000"/>
            </a:solidFill>
            <a:round/>
            <a:headEnd/>
            <a:tailEnd type="arrow" w="med" len="med"/>
          </a:ln>
        </xdr:spPr>
      </xdr:sp>
      <xdr:sp macro="" textlink="">
        <xdr:nvSpPr>
          <xdr:cNvPr id="3682" name="Line 8988">
            <a:extLst>
              <a:ext uri="{FF2B5EF4-FFF2-40B4-BE49-F238E27FC236}">
                <a16:creationId xmlns:a16="http://schemas.microsoft.com/office/drawing/2014/main" id="{00000000-0008-0000-0000-0000620E0000}"/>
              </a:ext>
            </a:extLst>
          </xdr:cNvPr>
          <xdr:cNvSpPr>
            <a:spLocks noChangeShapeType="1"/>
          </xdr:cNvSpPr>
        </xdr:nvSpPr>
        <xdr:spPr bwMode="auto">
          <a:xfrm flipH="1">
            <a:off x="2179570" y="32403657"/>
            <a:ext cx="176353" cy="0"/>
          </a:xfrm>
          <a:prstGeom prst="line">
            <a:avLst/>
          </a:prstGeom>
          <a:noFill/>
          <a:ln w="9525">
            <a:solidFill>
              <a:srgbClr val="000000"/>
            </a:solidFill>
            <a:round/>
            <a:headEnd/>
            <a:tailEnd type="arrow" w="med" len="med"/>
          </a:ln>
        </xdr:spPr>
      </xdr:sp>
      <xdr:sp macro="" textlink="">
        <xdr:nvSpPr>
          <xdr:cNvPr id="3683" name="Line 8990">
            <a:extLst>
              <a:ext uri="{FF2B5EF4-FFF2-40B4-BE49-F238E27FC236}">
                <a16:creationId xmlns:a16="http://schemas.microsoft.com/office/drawing/2014/main" id="{00000000-0008-0000-0000-0000630E0000}"/>
              </a:ext>
            </a:extLst>
          </xdr:cNvPr>
          <xdr:cNvSpPr>
            <a:spLocks noChangeShapeType="1"/>
          </xdr:cNvSpPr>
        </xdr:nvSpPr>
        <xdr:spPr bwMode="auto">
          <a:xfrm flipH="1">
            <a:off x="2179570" y="32531017"/>
            <a:ext cx="264529" cy="0"/>
          </a:xfrm>
          <a:prstGeom prst="line">
            <a:avLst/>
          </a:prstGeom>
          <a:noFill/>
          <a:ln w="9525">
            <a:solidFill>
              <a:srgbClr val="000000"/>
            </a:solidFill>
            <a:round/>
            <a:headEnd/>
            <a:tailEnd type="arrow" w="med" len="med"/>
          </a:ln>
        </xdr:spPr>
      </xdr:sp>
      <xdr:sp macro="" textlink="">
        <xdr:nvSpPr>
          <xdr:cNvPr id="3684" name="Line 8992">
            <a:extLst>
              <a:ext uri="{FF2B5EF4-FFF2-40B4-BE49-F238E27FC236}">
                <a16:creationId xmlns:a16="http://schemas.microsoft.com/office/drawing/2014/main" id="{00000000-0008-0000-0000-0000640E0000}"/>
              </a:ext>
            </a:extLst>
          </xdr:cNvPr>
          <xdr:cNvSpPr>
            <a:spLocks noChangeShapeType="1"/>
          </xdr:cNvSpPr>
        </xdr:nvSpPr>
        <xdr:spPr bwMode="auto">
          <a:xfrm flipH="1">
            <a:off x="2179570" y="32677427"/>
            <a:ext cx="363079" cy="0"/>
          </a:xfrm>
          <a:prstGeom prst="line">
            <a:avLst/>
          </a:prstGeom>
          <a:noFill/>
          <a:ln w="9525">
            <a:solidFill>
              <a:srgbClr val="000000"/>
            </a:solidFill>
            <a:round/>
            <a:headEnd/>
            <a:tailEnd type="arrow" w="med" len="med"/>
          </a:ln>
        </xdr:spPr>
      </xdr:sp>
      <xdr:sp macro="" textlink="">
        <xdr:nvSpPr>
          <xdr:cNvPr id="3685" name="Line 8993">
            <a:extLst>
              <a:ext uri="{FF2B5EF4-FFF2-40B4-BE49-F238E27FC236}">
                <a16:creationId xmlns:a16="http://schemas.microsoft.com/office/drawing/2014/main" id="{00000000-0008-0000-0000-0000650E0000}"/>
              </a:ext>
            </a:extLst>
          </xdr:cNvPr>
          <xdr:cNvSpPr>
            <a:spLocks noChangeShapeType="1"/>
          </xdr:cNvSpPr>
        </xdr:nvSpPr>
        <xdr:spPr bwMode="auto">
          <a:xfrm flipH="1">
            <a:off x="2198620" y="32857154"/>
            <a:ext cx="399387" cy="0"/>
          </a:xfrm>
          <a:prstGeom prst="line">
            <a:avLst/>
          </a:prstGeom>
          <a:noFill/>
          <a:ln w="9525">
            <a:solidFill>
              <a:srgbClr val="000000"/>
            </a:solidFill>
            <a:round/>
            <a:headEnd/>
            <a:tailEnd type="arrow" w="med" len="med"/>
          </a:ln>
        </xdr:spPr>
      </xdr:sp>
      <xdr:sp macro="" textlink="">
        <xdr:nvSpPr>
          <xdr:cNvPr id="3686" name="Line 8995">
            <a:extLst>
              <a:ext uri="{FF2B5EF4-FFF2-40B4-BE49-F238E27FC236}">
                <a16:creationId xmlns:a16="http://schemas.microsoft.com/office/drawing/2014/main" id="{00000000-0008-0000-0000-0000660E0000}"/>
              </a:ext>
            </a:extLst>
          </xdr:cNvPr>
          <xdr:cNvSpPr>
            <a:spLocks noChangeShapeType="1"/>
          </xdr:cNvSpPr>
        </xdr:nvSpPr>
        <xdr:spPr bwMode="auto">
          <a:xfrm flipH="1">
            <a:off x="2203806" y="33032139"/>
            <a:ext cx="508311" cy="0"/>
          </a:xfrm>
          <a:prstGeom prst="line">
            <a:avLst/>
          </a:prstGeom>
          <a:noFill/>
          <a:ln w="9525">
            <a:solidFill>
              <a:srgbClr val="000000"/>
            </a:solidFill>
            <a:round/>
            <a:headEnd/>
            <a:tailEnd type="arrow" w="med" len="med"/>
          </a:ln>
        </xdr:spPr>
      </xdr:sp>
      <xdr:sp macro="" textlink="">
        <xdr:nvSpPr>
          <xdr:cNvPr id="3687" name="Line 8997">
            <a:extLst>
              <a:ext uri="{FF2B5EF4-FFF2-40B4-BE49-F238E27FC236}">
                <a16:creationId xmlns:a16="http://schemas.microsoft.com/office/drawing/2014/main" id="{00000000-0008-0000-0000-0000670E0000}"/>
              </a:ext>
            </a:extLst>
          </xdr:cNvPr>
          <xdr:cNvSpPr>
            <a:spLocks noChangeShapeType="1"/>
          </xdr:cNvSpPr>
        </xdr:nvSpPr>
        <xdr:spPr bwMode="auto">
          <a:xfrm flipH="1">
            <a:off x="2208145" y="33214112"/>
            <a:ext cx="606861" cy="0"/>
          </a:xfrm>
          <a:prstGeom prst="line">
            <a:avLst/>
          </a:prstGeom>
          <a:noFill/>
          <a:ln w="9525">
            <a:solidFill>
              <a:srgbClr val="000000"/>
            </a:solidFill>
            <a:round/>
            <a:headEnd/>
            <a:tailEnd type="arrow" w="med" len="med"/>
          </a:ln>
        </xdr:spPr>
      </xdr:sp>
    </xdr:grpSp>
    <xdr:clientData/>
  </xdr:twoCellAnchor>
  <xdr:twoCellAnchor>
    <xdr:from>
      <xdr:col>4</xdr:col>
      <xdr:colOff>76200</xdr:colOff>
      <xdr:row>239</xdr:row>
      <xdr:rowOff>190500</xdr:rowOff>
    </xdr:from>
    <xdr:to>
      <xdr:col>5</xdr:col>
      <xdr:colOff>190500</xdr:colOff>
      <xdr:row>245</xdr:row>
      <xdr:rowOff>85725</xdr:rowOff>
    </xdr:to>
    <xdr:sp macro="" textlink="">
      <xdr:nvSpPr>
        <xdr:cNvPr id="1370" name="Right Triangle 1369">
          <a:extLst>
            <a:ext uri="{FF2B5EF4-FFF2-40B4-BE49-F238E27FC236}">
              <a16:creationId xmlns:a16="http://schemas.microsoft.com/office/drawing/2014/main" id="{00000000-0008-0000-0000-00005A050000}"/>
            </a:ext>
          </a:extLst>
        </xdr:cNvPr>
        <xdr:cNvSpPr/>
      </xdr:nvSpPr>
      <xdr:spPr>
        <a:xfrm>
          <a:off x="2514600" y="36728400"/>
          <a:ext cx="723900" cy="1181100"/>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2</xdr:col>
      <xdr:colOff>342900</xdr:colOff>
      <xdr:row>249</xdr:row>
      <xdr:rowOff>37889</xdr:rowOff>
    </xdr:from>
    <xdr:to>
      <xdr:col>3</xdr:col>
      <xdr:colOff>152400</xdr:colOff>
      <xdr:row>250</xdr:row>
      <xdr:rowOff>37708</xdr:rowOff>
    </xdr:to>
    <xdr:sp macro="" textlink="">
      <xdr:nvSpPr>
        <xdr:cNvPr id="1422" name="Text Box 573">
          <a:extLst>
            <a:ext uri="{FF2B5EF4-FFF2-40B4-BE49-F238E27FC236}">
              <a16:creationId xmlns:a16="http://schemas.microsoft.com/office/drawing/2014/main" id="{00000000-0008-0000-0000-00008E050000}"/>
            </a:ext>
          </a:extLst>
        </xdr:cNvPr>
        <xdr:cNvSpPr txBox="1">
          <a:spLocks noChangeArrowheads="1"/>
        </xdr:cNvSpPr>
      </xdr:nvSpPr>
      <xdr:spPr bwMode="auto">
        <a:xfrm>
          <a:off x="1562100" y="38814164"/>
          <a:ext cx="419100" cy="218894"/>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a:t>
          </a:r>
        </a:p>
      </xdr:txBody>
    </xdr:sp>
    <xdr:clientData/>
  </xdr:twoCellAnchor>
  <xdr:twoCellAnchor>
    <xdr:from>
      <xdr:col>0</xdr:col>
      <xdr:colOff>495157</xdr:colOff>
      <xdr:row>248</xdr:row>
      <xdr:rowOff>108191</xdr:rowOff>
    </xdr:from>
    <xdr:to>
      <xdr:col>1</xdr:col>
      <xdr:colOff>162556</xdr:colOff>
      <xdr:row>250</xdr:row>
      <xdr:rowOff>15518</xdr:rowOff>
    </xdr:to>
    <xdr:sp macro="" textlink="">
      <xdr:nvSpPr>
        <xdr:cNvPr id="1425" name="Text Box 563">
          <a:extLst>
            <a:ext uri="{FF2B5EF4-FFF2-40B4-BE49-F238E27FC236}">
              <a16:creationId xmlns:a16="http://schemas.microsoft.com/office/drawing/2014/main" id="{00000000-0008-0000-0000-000091050000}"/>
            </a:ext>
          </a:extLst>
        </xdr:cNvPr>
        <xdr:cNvSpPr txBox="1">
          <a:spLocks noChangeArrowheads="1"/>
        </xdr:cNvSpPr>
      </xdr:nvSpPr>
      <xdr:spPr bwMode="auto">
        <a:xfrm>
          <a:off x="495157" y="40384287"/>
          <a:ext cx="275534" cy="31763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a:t>
          </a:r>
          <a:r>
            <a:rPr lang="en-US" sz="1100" b="0" i="0" strike="noStrike">
              <a:solidFill>
                <a:srgbClr val="000000"/>
              </a:solidFill>
              <a:latin typeface="Calibri"/>
              <a:cs typeface="Calibri"/>
            </a:rPr>
            <a:t>V</a:t>
          </a:r>
        </a:p>
      </xdr:txBody>
    </xdr:sp>
    <xdr:clientData/>
  </xdr:twoCellAnchor>
  <xdr:twoCellAnchor>
    <xdr:from>
      <xdr:col>0</xdr:col>
      <xdr:colOff>438150</xdr:colOff>
      <xdr:row>249</xdr:row>
      <xdr:rowOff>180975</xdr:rowOff>
    </xdr:from>
    <xdr:to>
      <xdr:col>1</xdr:col>
      <xdr:colOff>171450</xdr:colOff>
      <xdr:row>254</xdr:row>
      <xdr:rowOff>180975</xdr:rowOff>
    </xdr:to>
    <xdr:grpSp>
      <xdr:nvGrpSpPr>
        <xdr:cNvPr id="3147" name="Group 564">
          <a:extLst>
            <a:ext uri="{FF2B5EF4-FFF2-40B4-BE49-F238E27FC236}">
              <a16:creationId xmlns:a16="http://schemas.microsoft.com/office/drawing/2014/main" id="{00000000-0008-0000-0000-00004B0C0000}"/>
            </a:ext>
          </a:extLst>
        </xdr:cNvPr>
        <xdr:cNvGrpSpPr>
          <a:grpSpLocks/>
        </xdr:cNvGrpSpPr>
      </xdr:nvGrpSpPr>
      <xdr:grpSpPr bwMode="auto">
        <a:xfrm>
          <a:off x="438150" y="49834800"/>
          <a:ext cx="342900" cy="1009650"/>
          <a:chOff x="460" y="682"/>
          <a:chExt cx="167" cy="59"/>
        </a:xfrm>
      </xdr:grpSpPr>
      <xdr:sp macro="" textlink="">
        <xdr:nvSpPr>
          <xdr:cNvPr id="1428" name="Text Box 565">
            <a:extLst>
              <a:ext uri="{FF2B5EF4-FFF2-40B4-BE49-F238E27FC236}">
                <a16:creationId xmlns:a16="http://schemas.microsoft.com/office/drawing/2014/main" id="{00000000-0008-0000-0000-000094050000}"/>
              </a:ext>
            </a:extLst>
          </xdr:cNvPr>
          <xdr:cNvSpPr txBox="1">
            <a:spLocks noChangeArrowheads="1"/>
          </xdr:cNvSpPr>
        </xdr:nvSpPr>
        <xdr:spPr bwMode="auto">
          <a:xfrm>
            <a:off x="460" y="721"/>
            <a:ext cx="83"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80" name="Line 566">
            <a:extLst>
              <a:ext uri="{FF2B5EF4-FFF2-40B4-BE49-F238E27FC236}">
                <a16:creationId xmlns:a16="http://schemas.microsoft.com/office/drawing/2014/main" id="{00000000-0008-0000-0000-0000600E0000}"/>
              </a:ext>
            </a:extLst>
          </xdr:cNvPr>
          <xdr:cNvSpPr>
            <a:spLocks noChangeShapeType="1"/>
          </xdr:cNvSpPr>
        </xdr:nvSpPr>
        <xdr:spPr bwMode="auto">
          <a:xfrm>
            <a:off x="496" y="682"/>
            <a:ext cx="131" cy="0"/>
          </a:xfrm>
          <a:prstGeom prst="line">
            <a:avLst/>
          </a:prstGeom>
          <a:noFill/>
          <a:ln w="9525">
            <a:solidFill>
              <a:srgbClr val="000000"/>
            </a:solidFill>
            <a:round/>
            <a:headEnd/>
            <a:tailEnd/>
          </a:ln>
        </xdr:spPr>
      </xdr:sp>
    </xdr:grpSp>
    <xdr:clientData/>
  </xdr:twoCellAnchor>
  <xdr:twoCellAnchor>
    <xdr:from>
      <xdr:col>0</xdr:col>
      <xdr:colOff>561665</xdr:colOff>
      <xdr:row>249</xdr:row>
      <xdr:rowOff>166347</xdr:rowOff>
    </xdr:from>
    <xdr:to>
      <xdr:col>1</xdr:col>
      <xdr:colOff>191059</xdr:colOff>
      <xdr:row>250</xdr:row>
      <xdr:rowOff>181823</xdr:rowOff>
    </xdr:to>
    <xdr:sp macro="" textlink="">
      <xdr:nvSpPr>
        <xdr:cNvPr id="1427" name="Text Box 567">
          <a:extLst>
            <a:ext uri="{FF2B5EF4-FFF2-40B4-BE49-F238E27FC236}">
              <a16:creationId xmlns:a16="http://schemas.microsoft.com/office/drawing/2014/main" id="{00000000-0008-0000-0000-000093050000}"/>
            </a:ext>
          </a:extLst>
        </xdr:cNvPr>
        <xdr:cNvSpPr txBox="1">
          <a:spLocks noChangeArrowheads="1"/>
        </xdr:cNvSpPr>
      </xdr:nvSpPr>
      <xdr:spPr bwMode="auto">
        <a:xfrm>
          <a:off x="561665" y="40632943"/>
          <a:ext cx="237529" cy="235284"/>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clientData/>
  </xdr:twoCellAnchor>
  <xdr:twoCellAnchor>
    <xdr:from>
      <xdr:col>1</xdr:col>
      <xdr:colOff>191059</xdr:colOff>
      <xdr:row>248</xdr:row>
      <xdr:rowOff>144318</xdr:rowOff>
    </xdr:from>
    <xdr:to>
      <xdr:col>2</xdr:col>
      <xdr:colOff>267009</xdr:colOff>
      <xdr:row>250</xdr:row>
      <xdr:rowOff>23271</xdr:rowOff>
    </xdr:to>
    <xdr:sp macro="" textlink="">
      <xdr:nvSpPr>
        <xdr:cNvPr id="1419" name="Text Box 568">
          <a:extLst>
            <a:ext uri="{FF2B5EF4-FFF2-40B4-BE49-F238E27FC236}">
              <a16:creationId xmlns:a16="http://schemas.microsoft.com/office/drawing/2014/main" id="{00000000-0008-0000-0000-00008B050000}"/>
            </a:ext>
          </a:extLst>
        </xdr:cNvPr>
        <xdr:cNvSpPr txBox="1">
          <a:spLocks noChangeArrowheads="1"/>
        </xdr:cNvSpPr>
      </xdr:nvSpPr>
      <xdr:spPr bwMode="auto">
        <a:xfrm>
          <a:off x="799194" y="40420414"/>
          <a:ext cx="684084" cy="289261"/>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( 1 + 6 e ) </a:t>
          </a:r>
        </a:p>
      </xdr:txBody>
    </xdr:sp>
    <xdr:clientData/>
  </xdr:twoCellAnchor>
  <xdr:twoCellAnchor>
    <xdr:from>
      <xdr:col>1</xdr:col>
      <xdr:colOff>550734</xdr:colOff>
      <xdr:row>249</xdr:row>
      <xdr:rowOff>130566</xdr:rowOff>
    </xdr:from>
    <xdr:to>
      <xdr:col>2</xdr:col>
      <xdr:colOff>180129</xdr:colOff>
      <xdr:row>250</xdr:row>
      <xdr:rowOff>147427</xdr:rowOff>
    </xdr:to>
    <xdr:sp macro="" textlink="">
      <xdr:nvSpPr>
        <xdr:cNvPr id="1420" name="Text Box 569">
          <a:extLst>
            <a:ext uri="{FF2B5EF4-FFF2-40B4-BE49-F238E27FC236}">
              <a16:creationId xmlns:a16="http://schemas.microsoft.com/office/drawing/2014/main" id="{00000000-0008-0000-0000-00008C050000}"/>
            </a:ext>
          </a:extLst>
        </xdr:cNvPr>
        <xdr:cNvSpPr txBox="1">
          <a:spLocks noChangeArrowheads="1"/>
        </xdr:cNvSpPr>
      </xdr:nvSpPr>
      <xdr:spPr bwMode="auto">
        <a:xfrm>
          <a:off x="1158869" y="40597162"/>
          <a:ext cx="237529" cy="23666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clientData/>
  </xdr:twoCellAnchor>
  <xdr:twoCellAnchor>
    <xdr:from>
      <xdr:col>1</xdr:col>
      <xdr:colOff>400085</xdr:colOff>
      <xdr:row>248</xdr:row>
      <xdr:rowOff>170614</xdr:rowOff>
    </xdr:from>
    <xdr:to>
      <xdr:col>1</xdr:col>
      <xdr:colOff>513452</xdr:colOff>
      <xdr:row>250</xdr:row>
      <xdr:rowOff>93395</xdr:rowOff>
    </xdr:to>
    <xdr:sp macro="" textlink="">
      <xdr:nvSpPr>
        <xdr:cNvPr id="1423" name="Text Box 571">
          <a:extLst>
            <a:ext uri="{FF2B5EF4-FFF2-40B4-BE49-F238E27FC236}">
              <a16:creationId xmlns:a16="http://schemas.microsoft.com/office/drawing/2014/main" id="{00000000-0008-0000-0000-00008F050000}"/>
            </a:ext>
          </a:extLst>
        </xdr:cNvPr>
        <xdr:cNvSpPr txBox="1">
          <a:spLocks noChangeArrowheads="1"/>
        </xdr:cNvSpPr>
      </xdr:nvSpPr>
      <xdr:spPr bwMode="auto">
        <a:xfrm>
          <a:off x="1008220" y="40446710"/>
          <a:ext cx="113367" cy="33308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clientData/>
  </xdr:twoCellAnchor>
  <xdr:twoCellAnchor>
    <xdr:from>
      <xdr:col>1</xdr:col>
      <xdr:colOff>552450</xdr:colOff>
      <xdr:row>249</xdr:row>
      <xdr:rowOff>142875</xdr:rowOff>
    </xdr:from>
    <xdr:to>
      <xdr:col>2</xdr:col>
      <xdr:colOff>114300</xdr:colOff>
      <xdr:row>249</xdr:row>
      <xdr:rowOff>142875</xdr:rowOff>
    </xdr:to>
    <xdr:sp macro="" textlink="">
      <xdr:nvSpPr>
        <xdr:cNvPr id="3152" name="Line 572">
          <a:extLst>
            <a:ext uri="{FF2B5EF4-FFF2-40B4-BE49-F238E27FC236}">
              <a16:creationId xmlns:a16="http://schemas.microsoft.com/office/drawing/2014/main" id="{00000000-0008-0000-0000-0000500C0000}"/>
            </a:ext>
          </a:extLst>
        </xdr:cNvPr>
        <xdr:cNvSpPr>
          <a:spLocks noChangeShapeType="1"/>
        </xdr:cNvSpPr>
      </xdr:nvSpPr>
      <xdr:spPr bwMode="auto">
        <a:xfrm>
          <a:off x="1162050" y="40395525"/>
          <a:ext cx="171450" cy="0"/>
        </a:xfrm>
        <a:prstGeom prst="line">
          <a:avLst/>
        </a:prstGeom>
        <a:noFill/>
        <a:ln w="9525">
          <a:solidFill>
            <a:srgbClr val="000000"/>
          </a:solidFill>
          <a:round/>
          <a:headEnd/>
          <a:tailEnd/>
        </a:ln>
      </xdr:spPr>
    </xdr:sp>
    <xdr:clientData/>
  </xdr:twoCellAnchor>
  <xdr:twoCellAnchor>
    <xdr:from>
      <xdr:col>0</xdr:col>
      <xdr:colOff>447675</xdr:colOff>
      <xdr:row>252</xdr:row>
      <xdr:rowOff>142875</xdr:rowOff>
    </xdr:from>
    <xdr:to>
      <xdr:col>1</xdr:col>
      <xdr:colOff>209550</xdr:colOff>
      <xdr:row>255</xdr:row>
      <xdr:rowOff>38100</xdr:rowOff>
    </xdr:to>
    <xdr:grpSp>
      <xdr:nvGrpSpPr>
        <xdr:cNvPr id="3153" name="Group 576">
          <a:extLst>
            <a:ext uri="{FF2B5EF4-FFF2-40B4-BE49-F238E27FC236}">
              <a16:creationId xmlns:a16="http://schemas.microsoft.com/office/drawing/2014/main" id="{00000000-0008-0000-0000-0000510C0000}"/>
            </a:ext>
          </a:extLst>
        </xdr:cNvPr>
        <xdr:cNvGrpSpPr>
          <a:grpSpLocks/>
        </xdr:cNvGrpSpPr>
      </xdr:nvGrpSpPr>
      <xdr:grpSpPr bwMode="auto">
        <a:xfrm>
          <a:off x="447675" y="50396775"/>
          <a:ext cx="371475" cy="495300"/>
          <a:chOff x="196" y="3643"/>
          <a:chExt cx="39" cy="41"/>
        </a:xfrm>
      </xdr:grpSpPr>
      <xdr:sp macro="" textlink="">
        <xdr:nvSpPr>
          <xdr:cNvPr id="1439" name="Text Box 577">
            <a:extLst>
              <a:ext uri="{FF2B5EF4-FFF2-40B4-BE49-F238E27FC236}">
                <a16:creationId xmlns:a16="http://schemas.microsoft.com/office/drawing/2014/main" id="{00000000-0008-0000-0000-00009F050000}"/>
              </a:ext>
            </a:extLst>
          </xdr:cNvPr>
          <xdr:cNvSpPr txBox="1">
            <a:spLocks noChangeArrowheads="1"/>
          </xdr:cNvSpPr>
        </xdr:nvSpPr>
        <xdr:spPr bwMode="auto">
          <a:xfrm>
            <a:off x="202" y="3643"/>
            <a:ext cx="29" cy="2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a:t>
            </a:r>
            <a:r>
              <a:rPr lang="en-US" sz="1100" b="0" i="0" strike="noStrike">
                <a:solidFill>
                  <a:srgbClr val="000000"/>
                </a:solidFill>
                <a:latin typeface="Calibri"/>
                <a:cs typeface="Calibri"/>
              </a:rPr>
              <a:t>V</a:t>
            </a:r>
          </a:p>
        </xdr:txBody>
      </xdr:sp>
      <xdr:grpSp>
        <xdr:nvGrpSpPr>
          <xdr:cNvPr id="3675" name="Group 578">
            <a:extLst>
              <a:ext uri="{FF2B5EF4-FFF2-40B4-BE49-F238E27FC236}">
                <a16:creationId xmlns:a16="http://schemas.microsoft.com/office/drawing/2014/main" id="{00000000-0008-0000-0000-00005B0E0000}"/>
              </a:ext>
            </a:extLst>
          </xdr:cNvPr>
          <xdr:cNvGrpSpPr>
            <a:grpSpLocks/>
          </xdr:cNvGrpSpPr>
        </xdr:nvGrpSpPr>
        <xdr:grpSpPr bwMode="auto">
          <a:xfrm>
            <a:off x="196" y="3649"/>
            <a:ext cx="38" cy="29"/>
            <a:chOff x="460" y="721"/>
            <a:chExt cx="176" cy="20"/>
          </a:xfrm>
        </xdr:grpSpPr>
        <xdr:sp macro="" textlink="">
          <xdr:nvSpPr>
            <xdr:cNvPr id="1442" name="Text Box 579">
              <a:extLst>
                <a:ext uri="{FF2B5EF4-FFF2-40B4-BE49-F238E27FC236}">
                  <a16:creationId xmlns:a16="http://schemas.microsoft.com/office/drawing/2014/main" id="{00000000-0008-0000-0000-0000A2050000}"/>
                </a:ext>
              </a:extLst>
            </xdr:cNvPr>
            <xdr:cNvSpPr txBox="1">
              <a:spLocks noChangeArrowheads="1"/>
            </xdr:cNvSpPr>
          </xdr:nvSpPr>
          <xdr:spPr bwMode="auto">
            <a:xfrm>
              <a:off x="460" y="721"/>
              <a:ext cx="83"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78" name="Line 580">
              <a:extLst>
                <a:ext uri="{FF2B5EF4-FFF2-40B4-BE49-F238E27FC236}">
                  <a16:creationId xmlns:a16="http://schemas.microsoft.com/office/drawing/2014/main" id="{00000000-0008-0000-0000-00005E0E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sp macro="" textlink="">
        <xdr:nvSpPr>
          <xdr:cNvPr id="1441" name="Text Box 581">
            <a:extLst>
              <a:ext uri="{FF2B5EF4-FFF2-40B4-BE49-F238E27FC236}">
                <a16:creationId xmlns:a16="http://schemas.microsoft.com/office/drawing/2014/main" id="{00000000-0008-0000-0000-0000A1050000}"/>
              </a:ext>
            </a:extLst>
          </xdr:cNvPr>
          <xdr:cNvSpPr txBox="1">
            <a:spLocks noChangeArrowheads="1"/>
          </xdr:cNvSpPr>
        </xdr:nvSpPr>
        <xdr:spPr bwMode="auto">
          <a:xfrm>
            <a:off x="210" y="3664"/>
            <a:ext cx="25"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grpSp>
    <xdr:clientData/>
  </xdr:twoCellAnchor>
  <xdr:twoCellAnchor>
    <xdr:from>
      <xdr:col>1</xdr:col>
      <xdr:colOff>200561</xdr:colOff>
      <xdr:row>252</xdr:row>
      <xdr:rowOff>187507</xdr:rowOff>
    </xdr:from>
    <xdr:to>
      <xdr:col>2</xdr:col>
      <xdr:colOff>390525</xdr:colOff>
      <xdr:row>254</xdr:row>
      <xdr:rowOff>80218</xdr:rowOff>
    </xdr:to>
    <xdr:sp macro="" textlink="">
      <xdr:nvSpPr>
        <xdr:cNvPr id="1434" name="Text Box 582">
          <a:extLst>
            <a:ext uri="{FF2B5EF4-FFF2-40B4-BE49-F238E27FC236}">
              <a16:creationId xmlns:a16="http://schemas.microsoft.com/office/drawing/2014/main" id="{00000000-0008-0000-0000-00009A050000}"/>
            </a:ext>
          </a:extLst>
        </xdr:cNvPr>
        <xdr:cNvSpPr txBox="1">
          <a:spLocks noChangeArrowheads="1"/>
        </xdr:cNvSpPr>
      </xdr:nvSpPr>
      <xdr:spPr bwMode="auto">
        <a:xfrm>
          <a:off x="808696" y="41254911"/>
          <a:ext cx="798098" cy="30301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( 1 - 6 e )</a:t>
          </a:r>
        </a:p>
      </xdr:txBody>
    </xdr:sp>
    <xdr:clientData/>
  </xdr:twoCellAnchor>
  <xdr:twoCellAnchor>
    <xdr:from>
      <xdr:col>1</xdr:col>
      <xdr:colOff>504598</xdr:colOff>
      <xdr:row>253</xdr:row>
      <xdr:rowOff>189838</xdr:rowOff>
    </xdr:from>
    <xdr:to>
      <xdr:col>2</xdr:col>
      <xdr:colOff>133993</xdr:colOff>
      <xdr:row>255</xdr:row>
      <xdr:rowOff>27455</xdr:rowOff>
    </xdr:to>
    <xdr:sp macro="" textlink="">
      <xdr:nvSpPr>
        <xdr:cNvPr id="1435" name="Text Box 583">
          <a:extLst>
            <a:ext uri="{FF2B5EF4-FFF2-40B4-BE49-F238E27FC236}">
              <a16:creationId xmlns:a16="http://schemas.microsoft.com/office/drawing/2014/main" id="{00000000-0008-0000-0000-00009B050000}"/>
            </a:ext>
          </a:extLst>
        </xdr:cNvPr>
        <xdr:cNvSpPr txBox="1">
          <a:spLocks noChangeArrowheads="1"/>
        </xdr:cNvSpPr>
      </xdr:nvSpPr>
      <xdr:spPr bwMode="auto">
        <a:xfrm>
          <a:off x="1112733" y="41447742"/>
          <a:ext cx="237529" cy="24792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clientData/>
  </xdr:twoCellAnchor>
  <xdr:twoCellAnchor>
    <xdr:from>
      <xdr:col>1</xdr:col>
      <xdr:colOff>457200</xdr:colOff>
      <xdr:row>253</xdr:row>
      <xdr:rowOff>9525</xdr:rowOff>
    </xdr:from>
    <xdr:to>
      <xdr:col>2</xdr:col>
      <xdr:colOff>85725</xdr:colOff>
      <xdr:row>254</xdr:row>
      <xdr:rowOff>142875</xdr:rowOff>
    </xdr:to>
    <xdr:grpSp>
      <xdr:nvGrpSpPr>
        <xdr:cNvPr id="3156" name="Group 584">
          <a:extLst>
            <a:ext uri="{FF2B5EF4-FFF2-40B4-BE49-F238E27FC236}">
              <a16:creationId xmlns:a16="http://schemas.microsoft.com/office/drawing/2014/main" id="{00000000-0008-0000-0000-0000540C0000}"/>
            </a:ext>
          </a:extLst>
        </xdr:cNvPr>
        <xdr:cNvGrpSpPr>
          <a:grpSpLocks/>
        </xdr:cNvGrpSpPr>
      </xdr:nvGrpSpPr>
      <xdr:grpSpPr bwMode="auto">
        <a:xfrm>
          <a:off x="1066800" y="50453925"/>
          <a:ext cx="238125" cy="352425"/>
          <a:chOff x="460" y="721"/>
          <a:chExt cx="176" cy="20"/>
        </a:xfrm>
      </xdr:grpSpPr>
      <xdr:sp macro="" textlink="">
        <xdr:nvSpPr>
          <xdr:cNvPr id="1437" name="Text Box 585">
            <a:extLst>
              <a:ext uri="{FF2B5EF4-FFF2-40B4-BE49-F238E27FC236}">
                <a16:creationId xmlns:a16="http://schemas.microsoft.com/office/drawing/2014/main" id="{00000000-0008-0000-0000-00009D050000}"/>
              </a:ext>
            </a:extLst>
          </xdr:cNvPr>
          <xdr:cNvSpPr txBox="1">
            <a:spLocks noChangeArrowheads="1"/>
          </xdr:cNvSpPr>
        </xdr:nvSpPr>
        <xdr:spPr bwMode="auto">
          <a:xfrm>
            <a:off x="460" y="721"/>
            <a:ext cx="84"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73" name="Line 586">
            <a:extLst>
              <a:ext uri="{FF2B5EF4-FFF2-40B4-BE49-F238E27FC236}">
                <a16:creationId xmlns:a16="http://schemas.microsoft.com/office/drawing/2014/main" id="{00000000-0008-0000-0000-0000590E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clientData/>
  </xdr:twoCellAnchor>
  <xdr:twoCellAnchor>
    <xdr:from>
      <xdr:col>2</xdr:col>
      <xdr:colOff>361950</xdr:colOff>
      <xdr:row>253</xdr:row>
      <xdr:rowOff>26811</xdr:rowOff>
    </xdr:from>
    <xdr:to>
      <xdr:col>3</xdr:col>
      <xdr:colOff>171450</xdr:colOff>
      <xdr:row>254</xdr:row>
      <xdr:rowOff>37042</xdr:rowOff>
    </xdr:to>
    <xdr:sp macro="" textlink="">
      <xdr:nvSpPr>
        <xdr:cNvPr id="1432" name="Text Box 587">
          <a:extLst>
            <a:ext uri="{FF2B5EF4-FFF2-40B4-BE49-F238E27FC236}">
              <a16:creationId xmlns:a16="http://schemas.microsoft.com/office/drawing/2014/main" id="{00000000-0008-0000-0000-000098050000}"/>
            </a:ext>
          </a:extLst>
        </xdr:cNvPr>
        <xdr:cNvSpPr txBox="1">
          <a:spLocks noChangeArrowheads="1"/>
        </xdr:cNvSpPr>
      </xdr:nvSpPr>
      <xdr:spPr bwMode="auto">
        <a:xfrm>
          <a:off x="1581150" y="39593661"/>
          <a:ext cx="419100" cy="229306"/>
        </a:xfrm>
        <a:prstGeom prst="rect">
          <a:avLst/>
        </a:prstGeom>
        <a:noFill/>
        <a:ln w="9525">
          <a:noFill/>
          <a:miter lim="800000"/>
          <a:headEnd/>
          <a:tailEnd/>
        </a:ln>
      </xdr:spPr>
      <xdr:txBody>
        <a:bodyPr vertOverflow="clip" wrap="square" lIns="27432" tIns="27432" rIns="0" bIns="0" anchor="t" upright="1"/>
        <a:lstStyle/>
        <a:p>
          <a:pPr algn="l" rtl="1">
            <a:defRPr sz="1000"/>
          </a:pPr>
          <a:r>
            <a:rPr lang="en-US" sz="1100" b="0" i="0" strike="noStrike">
              <a:solidFill>
                <a:srgbClr val="000000"/>
              </a:solidFill>
              <a:latin typeface="Calibri"/>
              <a:cs typeface="Calibri"/>
            </a:rPr>
            <a:t>=</a:t>
          </a:r>
        </a:p>
      </xdr:txBody>
    </xdr:sp>
    <xdr:clientData/>
  </xdr:twoCellAnchor>
  <xdr:twoCellAnchor>
    <xdr:from>
      <xdr:col>0</xdr:col>
      <xdr:colOff>257175</xdr:colOff>
      <xdr:row>261</xdr:row>
      <xdr:rowOff>104775</xdr:rowOff>
    </xdr:from>
    <xdr:to>
      <xdr:col>1</xdr:col>
      <xdr:colOff>114300</xdr:colOff>
      <xdr:row>262</xdr:row>
      <xdr:rowOff>28575</xdr:rowOff>
    </xdr:to>
    <xdr:sp macro="" textlink="">
      <xdr:nvSpPr>
        <xdr:cNvPr id="3158" name="Line 279">
          <a:extLst>
            <a:ext uri="{FF2B5EF4-FFF2-40B4-BE49-F238E27FC236}">
              <a16:creationId xmlns:a16="http://schemas.microsoft.com/office/drawing/2014/main" id="{00000000-0008-0000-0000-0000560C0000}"/>
            </a:ext>
          </a:extLst>
        </xdr:cNvPr>
        <xdr:cNvSpPr>
          <a:spLocks noChangeShapeType="1"/>
        </xdr:cNvSpPr>
      </xdr:nvSpPr>
      <xdr:spPr bwMode="auto">
        <a:xfrm flipH="1">
          <a:off x="257175" y="42843450"/>
          <a:ext cx="466725" cy="114300"/>
        </a:xfrm>
        <a:prstGeom prst="line">
          <a:avLst/>
        </a:prstGeom>
        <a:noFill/>
        <a:ln w="9525">
          <a:solidFill>
            <a:srgbClr val="000000"/>
          </a:solidFill>
          <a:prstDash val="dash"/>
          <a:round/>
          <a:headEnd/>
          <a:tailEnd/>
        </a:ln>
      </xdr:spPr>
    </xdr:sp>
    <xdr:clientData/>
  </xdr:twoCellAnchor>
  <xdr:twoCellAnchor>
    <xdr:from>
      <xdr:col>1</xdr:col>
      <xdr:colOff>504825</xdr:colOff>
      <xdr:row>261</xdr:row>
      <xdr:rowOff>95250</xdr:rowOff>
    </xdr:from>
    <xdr:to>
      <xdr:col>2</xdr:col>
      <xdr:colOff>342900</xdr:colOff>
      <xdr:row>262</xdr:row>
      <xdr:rowOff>28575</xdr:rowOff>
    </xdr:to>
    <xdr:sp macro="" textlink="">
      <xdr:nvSpPr>
        <xdr:cNvPr id="3159" name="Line 280">
          <a:extLst>
            <a:ext uri="{FF2B5EF4-FFF2-40B4-BE49-F238E27FC236}">
              <a16:creationId xmlns:a16="http://schemas.microsoft.com/office/drawing/2014/main" id="{00000000-0008-0000-0000-0000570C0000}"/>
            </a:ext>
          </a:extLst>
        </xdr:cNvPr>
        <xdr:cNvSpPr>
          <a:spLocks noChangeShapeType="1"/>
        </xdr:cNvSpPr>
      </xdr:nvSpPr>
      <xdr:spPr bwMode="auto">
        <a:xfrm>
          <a:off x="1114425" y="42833925"/>
          <a:ext cx="447675" cy="123825"/>
        </a:xfrm>
        <a:prstGeom prst="line">
          <a:avLst/>
        </a:prstGeom>
        <a:noFill/>
        <a:ln w="9525">
          <a:solidFill>
            <a:srgbClr val="000000"/>
          </a:solidFill>
          <a:prstDash val="dash"/>
          <a:round/>
          <a:headEnd/>
          <a:tailEnd/>
        </a:ln>
      </xdr:spPr>
    </xdr:sp>
    <xdr:clientData/>
  </xdr:twoCellAnchor>
  <xdr:twoCellAnchor>
    <xdr:from>
      <xdr:col>0</xdr:col>
      <xdr:colOff>323850</xdr:colOff>
      <xdr:row>261</xdr:row>
      <xdr:rowOff>47625</xdr:rowOff>
    </xdr:from>
    <xdr:to>
      <xdr:col>0</xdr:col>
      <xdr:colOff>371475</xdr:colOff>
      <xdr:row>261</xdr:row>
      <xdr:rowOff>76200</xdr:rowOff>
    </xdr:to>
    <xdr:sp macro="" textlink="">
      <xdr:nvSpPr>
        <xdr:cNvPr id="3160" name="Line 357">
          <a:extLst>
            <a:ext uri="{FF2B5EF4-FFF2-40B4-BE49-F238E27FC236}">
              <a16:creationId xmlns:a16="http://schemas.microsoft.com/office/drawing/2014/main" id="{00000000-0008-0000-0000-0000580C0000}"/>
            </a:ext>
          </a:extLst>
        </xdr:cNvPr>
        <xdr:cNvSpPr>
          <a:spLocks noChangeShapeType="1"/>
        </xdr:cNvSpPr>
      </xdr:nvSpPr>
      <xdr:spPr bwMode="auto">
        <a:xfrm flipH="1">
          <a:off x="323850" y="42786300"/>
          <a:ext cx="47625" cy="28575"/>
        </a:xfrm>
        <a:prstGeom prst="line">
          <a:avLst/>
        </a:prstGeom>
        <a:noFill/>
        <a:ln w="9525">
          <a:solidFill>
            <a:srgbClr val="000000"/>
          </a:solidFill>
          <a:round/>
          <a:headEnd/>
          <a:tailEnd/>
        </a:ln>
      </xdr:spPr>
    </xdr:sp>
    <xdr:clientData/>
  </xdr:twoCellAnchor>
  <xdr:twoCellAnchor>
    <xdr:from>
      <xdr:col>0</xdr:col>
      <xdr:colOff>352425</xdr:colOff>
      <xdr:row>261</xdr:row>
      <xdr:rowOff>47625</xdr:rowOff>
    </xdr:from>
    <xdr:to>
      <xdr:col>0</xdr:col>
      <xdr:colOff>390525</xdr:colOff>
      <xdr:row>261</xdr:row>
      <xdr:rowOff>76200</xdr:rowOff>
    </xdr:to>
    <xdr:sp macro="" textlink="">
      <xdr:nvSpPr>
        <xdr:cNvPr id="3161" name="Line 358">
          <a:extLst>
            <a:ext uri="{FF2B5EF4-FFF2-40B4-BE49-F238E27FC236}">
              <a16:creationId xmlns:a16="http://schemas.microsoft.com/office/drawing/2014/main" id="{00000000-0008-0000-0000-0000590C0000}"/>
            </a:ext>
          </a:extLst>
        </xdr:cNvPr>
        <xdr:cNvSpPr>
          <a:spLocks noChangeShapeType="1"/>
        </xdr:cNvSpPr>
      </xdr:nvSpPr>
      <xdr:spPr bwMode="auto">
        <a:xfrm flipH="1">
          <a:off x="352425" y="42786300"/>
          <a:ext cx="38100" cy="28575"/>
        </a:xfrm>
        <a:prstGeom prst="line">
          <a:avLst/>
        </a:prstGeom>
        <a:noFill/>
        <a:ln w="9525">
          <a:solidFill>
            <a:srgbClr val="000000"/>
          </a:solidFill>
          <a:round/>
          <a:headEnd/>
          <a:tailEnd/>
        </a:ln>
      </xdr:spPr>
    </xdr:sp>
    <xdr:clientData/>
  </xdr:twoCellAnchor>
  <xdr:twoCellAnchor>
    <xdr:from>
      <xdr:col>0</xdr:col>
      <xdr:colOff>371475</xdr:colOff>
      <xdr:row>261</xdr:row>
      <xdr:rowOff>47625</xdr:rowOff>
    </xdr:from>
    <xdr:to>
      <xdr:col>0</xdr:col>
      <xdr:colOff>419100</xdr:colOff>
      <xdr:row>261</xdr:row>
      <xdr:rowOff>76200</xdr:rowOff>
    </xdr:to>
    <xdr:sp macro="" textlink="">
      <xdr:nvSpPr>
        <xdr:cNvPr id="3162" name="Line 359">
          <a:extLst>
            <a:ext uri="{FF2B5EF4-FFF2-40B4-BE49-F238E27FC236}">
              <a16:creationId xmlns:a16="http://schemas.microsoft.com/office/drawing/2014/main" id="{00000000-0008-0000-0000-00005A0C0000}"/>
            </a:ext>
          </a:extLst>
        </xdr:cNvPr>
        <xdr:cNvSpPr>
          <a:spLocks noChangeShapeType="1"/>
        </xdr:cNvSpPr>
      </xdr:nvSpPr>
      <xdr:spPr bwMode="auto">
        <a:xfrm flipH="1">
          <a:off x="371475" y="42786300"/>
          <a:ext cx="47625" cy="28575"/>
        </a:xfrm>
        <a:prstGeom prst="line">
          <a:avLst/>
        </a:prstGeom>
        <a:noFill/>
        <a:ln w="9525">
          <a:solidFill>
            <a:srgbClr val="000000"/>
          </a:solidFill>
          <a:round/>
          <a:headEnd/>
          <a:tailEnd/>
        </a:ln>
      </xdr:spPr>
    </xdr:sp>
    <xdr:clientData/>
  </xdr:twoCellAnchor>
  <xdr:twoCellAnchor>
    <xdr:from>
      <xdr:col>0</xdr:col>
      <xdr:colOff>428625</xdr:colOff>
      <xdr:row>261</xdr:row>
      <xdr:rowOff>47625</xdr:rowOff>
    </xdr:from>
    <xdr:to>
      <xdr:col>0</xdr:col>
      <xdr:colOff>466725</xdr:colOff>
      <xdr:row>261</xdr:row>
      <xdr:rowOff>85725</xdr:rowOff>
    </xdr:to>
    <xdr:sp macro="" textlink="">
      <xdr:nvSpPr>
        <xdr:cNvPr id="3163" name="Line 360">
          <a:extLst>
            <a:ext uri="{FF2B5EF4-FFF2-40B4-BE49-F238E27FC236}">
              <a16:creationId xmlns:a16="http://schemas.microsoft.com/office/drawing/2014/main" id="{00000000-0008-0000-0000-00005B0C0000}"/>
            </a:ext>
          </a:extLst>
        </xdr:cNvPr>
        <xdr:cNvSpPr>
          <a:spLocks noChangeShapeType="1"/>
        </xdr:cNvSpPr>
      </xdr:nvSpPr>
      <xdr:spPr bwMode="auto">
        <a:xfrm>
          <a:off x="428625" y="42786300"/>
          <a:ext cx="38100" cy="38100"/>
        </a:xfrm>
        <a:prstGeom prst="line">
          <a:avLst/>
        </a:prstGeom>
        <a:noFill/>
        <a:ln w="9525">
          <a:solidFill>
            <a:srgbClr val="000000"/>
          </a:solidFill>
          <a:round/>
          <a:headEnd/>
          <a:tailEnd/>
        </a:ln>
      </xdr:spPr>
    </xdr:sp>
    <xdr:clientData/>
  </xdr:twoCellAnchor>
  <xdr:twoCellAnchor>
    <xdr:from>
      <xdr:col>0</xdr:col>
      <xdr:colOff>457200</xdr:colOff>
      <xdr:row>261</xdr:row>
      <xdr:rowOff>47625</xdr:rowOff>
    </xdr:from>
    <xdr:to>
      <xdr:col>0</xdr:col>
      <xdr:colOff>485775</xdr:colOff>
      <xdr:row>261</xdr:row>
      <xdr:rowOff>85725</xdr:rowOff>
    </xdr:to>
    <xdr:sp macro="" textlink="">
      <xdr:nvSpPr>
        <xdr:cNvPr id="3164" name="Line 361">
          <a:extLst>
            <a:ext uri="{FF2B5EF4-FFF2-40B4-BE49-F238E27FC236}">
              <a16:creationId xmlns:a16="http://schemas.microsoft.com/office/drawing/2014/main" id="{00000000-0008-0000-0000-00005C0C0000}"/>
            </a:ext>
          </a:extLst>
        </xdr:cNvPr>
        <xdr:cNvSpPr>
          <a:spLocks noChangeShapeType="1"/>
        </xdr:cNvSpPr>
      </xdr:nvSpPr>
      <xdr:spPr bwMode="auto">
        <a:xfrm>
          <a:off x="457200" y="42786300"/>
          <a:ext cx="28575" cy="38100"/>
        </a:xfrm>
        <a:prstGeom prst="line">
          <a:avLst/>
        </a:prstGeom>
        <a:noFill/>
        <a:ln w="9525">
          <a:solidFill>
            <a:srgbClr val="000000"/>
          </a:solidFill>
          <a:round/>
          <a:headEnd/>
          <a:tailEnd/>
        </a:ln>
      </xdr:spPr>
    </xdr:sp>
    <xdr:clientData/>
  </xdr:twoCellAnchor>
  <xdr:twoCellAnchor>
    <xdr:from>
      <xdr:col>0</xdr:col>
      <xdr:colOff>476250</xdr:colOff>
      <xdr:row>261</xdr:row>
      <xdr:rowOff>57150</xdr:rowOff>
    </xdr:from>
    <xdr:to>
      <xdr:col>0</xdr:col>
      <xdr:colOff>514350</xdr:colOff>
      <xdr:row>261</xdr:row>
      <xdr:rowOff>85725</xdr:rowOff>
    </xdr:to>
    <xdr:sp macro="" textlink="">
      <xdr:nvSpPr>
        <xdr:cNvPr id="3165" name="Line 362">
          <a:extLst>
            <a:ext uri="{FF2B5EF4-FFF2-40B4-BE49-F238E27FC236}">
              <a16:creationId xmlns:a16="http://schemas.microsoft.com/office/drawing/2014/main" id="{00000000-0008-0000-0000-00005D0C0000}"/>
            </a:ext>
          </a:extLst>
        </xdr:cNvPr>
        <xdr:cNvSpPr>
          <a:spLocks noChangeShapeType="1"/>
        </xdr:cNvSpPr>
      </xdr:nvSpPr>
      <xdr:spPr bwMode="auto">
        <a:xfrm>
          <a:off x="476250" y="42795825"/>
          <a:ext cx="38100" cy="28575"/>
        </a:xfrm>
        <a:prstGeom prst="line">
          <a:avLst/>
        </a:prstGeom>
        <a:noFill/>
        <a:ln w="9525">
          <a:solidFill>
            <a:srgbClr val="000000"/>
          </a:solidFill>
          <a:round/>
          <a:headEnd/>
          <a:tailEnd/>
        </a:ln>
      </xdr:spPr>
    </xdr:sp>
    <xdr:clientData/>
  </xdr:twoCellAnchor>
  <xdr:twoCellAnchor>
    <xdr:from>
      <xdr:col>0</xdr:col>
      <xdr:colOff>247650</xdr:colOff>
      <xdr:row>262</xdr:row>
      <xdr:rowOff>114300</xdr:rowOff>
    </xdr:from>
    <xdr:to>
      <xdr:col>2</xdr:col>
      <xdr:colOff>342900</xdr:colOff>
      <xdr:row>262</xdr:row>
      <xdr:rowOff>114300</xdr:rowOff>
    </xdr:to>
    <xdr:sp macro="" textlink="">
      <xdr:nvSpPr>
        <xdr:cNvPr id="3166" name="Line 293">
          <a:extLst>
            <a:ext uri="{FF2B5EF4-FFF2-40B4-BE49-F238E27FC236}">
              <a16:creationId xmlns:a16="http://schemas.microsoft.com/office/drawing/2014/main" id="{00000000-0008-0000-0000-00005E0C0000}"/>
            </a:ext>
          </a:extLst>
        </xdr:cNvPr>
        <xdr:cNvSpPr>
          <a:spLocks noChangeShapeType="1"/>
        </xdr:cNvSpPr>
      </xdr:nvSpPr>
      <xdr:spPr bwMode="auto">
        <a:xfrm>
          <a:off x="247650" y="43043475"/>
          <a:ext cx="1314450" cy="0"/>
        </a:xfrm>
        <a:prstGeom prst="line">
          <a:avLst/>
        </a:prstGeom>
        <a:noFill/>
        <a:ln w="9525">
          <a:solidFill>
            <a:srgbClr val="000000"/>
          </a:solidFill>
          <a:prstDash val="dash"/>
          <a:round/>
          <a:headEnd/>
          <a:tailEnd/>
        </a:ln>
      </xdr:spPr>
    </xdr:sp>
    <xdr:clientData/>
  </xdr:twoCellAnchor>
  <xdr:twoCellAnchor>
    <xdr:from>
      <xdr:col>0</xdr:col>
      <xdr:colOff>247650</xdr:colOff>
      <xdr:row>262</xdr:row>
      <xdr:rowOff>28575</xdr:rowOff>
    </xdr:from>
    <xdr:to>
      <xdr:col>0</xdr:col>
      <xdr:colOff>247650</xdr:colOff>
      <xdr:row>262</xdr:row>
      <xdr:rowOff>114300</xdr:rowOff>
    </xdr:to>
    <xdr:sp macro="" textlink="">
      <xdr:nvSpPr>
        <xdr:cNvPr id="3167" name="Line 294">
          <a:extLst>
            <a:ext uri="{FF2B5EF4-FFF2-40B4-BE49-F238E27FC236}">
              <a16:creationId xmlns:a16="http://schemas.microsoft.com/office/drawing/2014/main" id="{00000000-0008-0000-0000-00005F0C0000}"/>
            </a:ext>
          </a:extLst>
        </xdr:cNvPr>
        <xdr:cNvSpPr>
          <a:spLocks noChangeShapeType="1"/>
        </xdr:cNvSpPr>
      </xdr:nvSpPr>
      <xdr:spPr bwMode="auto">
        <a:xfrm flipH="1">
          <a:off x="247650" y="42957750"/>
          <a:ext cx="0" cy="85725"/>
        </a:xfrm>
        <a:prstGeom prst="line">
          <a:avLst/>
        </a:prstGeom>
        <a:noFill/>
        <a:ln w="9525">
          <a:solidFill>
            <a:srgbClr val="000000"/>
          </a:solidFill>
          <a:prstDash val="dash"/>
          <a:round/>
          <a:headEnd/>
          <a:tailEnd/>
        </a:ln>
      </xdr:spPr>
    </xdr:sp>
    <xdr:clientData/>
  </xdr:twoCellAnchor>
  <xdr:twoCellAnchor>
    <xdr:from>
      <xdr:col>2</xdr:col>
      <xdr:colOff>342900</xdr:colOff>
      <xdr:row>262</xdr:row>
      <xdr:rowOff>28575</xdr:rowOff>
    </xdr:from>
    <xdr:to>
      <xdr:col>2</xdr:col>
      <xdr:colOff>342900</xdr:colOff>
      <xdr:row>262</xdr:row>
      <xdr:rowOff>114300</xdr:rowOff>
    </xdr:to>
    <xdr:sp macro="" textlink="">
      <xdr:nvSpPr>
        <xdr:cNvPr id="3168" name="Line 295">
          <a:extLst>
            <a:ext uri="{FF2B5EF4-FFF2-40B4-BE49-F238E27FC236}">
              <a16:creationId xmlns:a16="http://schemas.microsoft.com/office/drawing/2014/main" id="{00000000-0008-0000-0000-0000600C0000}"/>
            </a:ext>
          </a:extLst>
        </xdr:cNvPr>
        <xdr:cNvSpPr>
          <a:spLocks noChangeShapeType="1"/>
        </xdr:cNvSpPr>
      </xdr:nvSpPr>
      <xdr:spPr bwMode="auto">
        <a:xfrm flipH="1">
          <a:off x="1562100" y="42957750"/>
          <a:ext cx="0" cy="85725"/>
        </a:xfrm>
        <a:prstGeom prst="line">
          <a:avLst/>
        </a:prstGeom>
        <a:noFill/>
        <a:ln w="9525">
          <a:solidFill>
            <a:srgbClr val="000000"/>
          </a:solidFill>
          <a:prstDash val="dash"/>
          <a:round/>
          <a:headEnd/>
          <a:tailEnd/>
        </a:ln>
      </xdr:spPr>
    </xdr:sp>
    <xdr:clientData/>
  </xdr:twoCellAnchor>
  <xdr:twoCellAnchor>
    <xdr:from>
      <xdr:col>1</xdr:col>
      <xdr:colOff>161925</xdr:colOff>
      <xdr:row>257</xdr:row>
      <xdr:rowOff>142875</xdr:rowOff>
    </xdr:from>
    <xdr:to>
      <xdr:col>1</xdr:col>
      <xdr:colOff>247650</xdr:colOff>
      <xdr:row>260</xdr:row>
      <xdr:rowOff>47625</xdr:rowOff>
    </xdr:to>
    <xdr:sp macro="" textlink="">
      <xdr:nvSpPr>
        <xdr:cNvPr id="3169" name="Line 296">
          <a:extLst>
            <a:ext uri="{FF2B5EF4-FFF2-40B4-BE49-F238E27FC236}">
              <a16:creationId xmlns:a16="http://schemas.microsoft.com/office/drawing/2014/main" id="{00000000-0008-0000-0000-0000610C0000}"/>
            </a:ext>
          </a:extLst>
        </xdr:cNvPr>
        <xdr:cNvSpPr>
          <a:spLocks noChangeShapeType="1"/>
        </xdr:cNvSpPr>
      </xdr:nvSpPr>
      <xdr:spPr bwMode="auto">
        <a:xfrm flipH="1">
          <a:off x="771525" y="41976675"/>
          <a:ext cx="85725" cy="619125"/>
        </a:xfrm>
        <a:prstGeom prst="line">
          <a:avLst/>
        </a:prstGeom>
        <a:noFill/>
        <a:ln w="9525">
          <a:solidFill>
            <a:srgbClr val="000000"/>
          </a:solidFill>
          <a:round/>
          <a:headEnd/>
          <a:tailEnd/>
        </a:ln>
      </xdr:spPr>
    </xdr:sp>
    <xdr:clientData/>
  </xdr:twoCellAnchor>
  <xdr:twoCellAnchor>
    <xdr:from>
      <xdr:col>1</xdr:col>
      <xdr:colOff>114300</xdr:colOff>
      <xdr:row>260</xdr:row>
      <xdr:rowOff>47625</xdr:rowOff>
    </xdr:from>
    <xdr:to>
      <xdr:col>1</xdr:col>
      <xdr:colOff>161925</xdr:colOff>
      <xdr:row>261</xdr:row>
      <xdr:rowOff>104775</xdr:rowOff>
    </xdr:to>
    <xdr:sp macro="" textlink="">
      <xdr:nvSpPr>
        <xdr:cNvPr id="3170" name="Line 297">
          <a:extLst>
            <a:ext uri="{FF2B5EF4-FFF2-40B4-BE49-F238E27FC236}">
              <a16:creationId xmlns:a16="http://schemas.microsoft.com/office/drawing/2014/main" id="{00000000-0008-0000-0000-0000620C0000}"/>
            </a:ext>
          </a:extLst>
        </xdr:cNvPr>
        <xdr:cNvSpPr>
          <a:spLocks noChangeShapeType="1"/>
        </xdr:cNvSpPr>
      </xdr:nvSpPr>
      <xdr:spPr bwMode="auto">
        <a:xfrm flipH="1">
          <a:off x="723900" y="42595800"/>
          <a:ext cx="47625" cy="247650"/>
        </a:xfrm>
        <a:prstGeom prst="line">
          <a:avLst/>
        </a:prstGeom>
        <a:noFill/>
        <a:ln w="9525">
          <a:solidFill>
            <a:srgbClr val="000000"/>
          </a:solidFill>
          <a:prstDash val="dash"/>
          <a:round/>
          <a:headEnd/>
          <a:tailEnd/>
        </a:ln>
      </xdr:spPr>
    </xdr:sp>
    <xdr:clientData/>
  </xdr:twoCellAnchor>
  <xdr:twoCellAnchor>
    <xdr:from>
      <xdr:col>1</xdr:col>
      <xdr:colOff>257175</xdr:colOff>
      <xdr:row>257</xdr:row>
      <xdr:rowOff>142875</xdr:rowOff>
    </xdr:from>
    <xdr:to>
      <xdr:col>1</xdr:col>
      <xdr:colOff>361950</xdr:colOff>
      <xdr:row>257</xdr:row>
      <xdr:rowOff>142875</xdr:rowOff>
    </xdr:to>
    <xdr:sp macro="" textlink="">
      <xdr:nvSpPr>
        <xdr:cNvPr id="3171" name="Line 299">
          <a:extLst>
            <a:ext uri="{FF2B5EF4-FFF2-40B4-BE49-F238E27FC236}">
              <a16:creationId xmlns:a16="http://schemas.microsoft.com/office/drawing/2014/main" id="{00000000-0008-0000-0000-0000630C0000}"/>
            </a:ext>
          </a:extLst>
        </xdr:cNvPr>
        <xdr:cNvSpPr>
          <a:spLocks noChangeShapeType="1"/>
        </xdr:cNvSpPr>
      </xdr:nvSpPr>
      <xdr:spPr bwMode="auto">
        <a:xfrm>
          <a:off x="866775" y="41976675"/>
          <a:ext cx="104775" cy="0"/>
        </a:xfrm>
        <a:prstGeom prst="line">
          <a:avLst/>
        </a:prstGeom>
        <a:noFill/>
        <a:ln w="9525">
          <a:solidFill>
            <a:srgbClr val="000000"/>
          </a:solidFill>
          <a:round/>
          <a:headEnd/>
          <a:tailEnd/>
        </a:ln>
      </xdr:spPr>
    </xdr:sp>
    <xdr:clientData/>
  </xdr:twoCellAnchor>
  <xdr:twoCellAnchor>
    <xdr:from>
      <xdr:col>1</xdr:col>
      <xdr:colOff>361950</xdr:colOff>
      <xdr:row>257</xdr:row>
      <xdr:rowOff>142875</xdr:rowOff>
    </xdr:from>
    <xdr:to>
      <xdr:col>1</xdr:col>
      <xdr:colOff>457200</xdr:colOff>
      <xdr:row>260</xdr:row>
      <xdr:rowOff>47625</xdr:rowOff>
    </xdr:to>
    <xdr:sp macro="" textlink="">
      <xdr:nvSpPr>
        <xdr:cNvPr id="3172" name="Line 300">
          <a:extLst>
            <a:ext uri="{FF2B5EF4-FFF2-40B4-BE49-F238E27FC236}">
              <a16:creationId xmlns:a16="http://schemas.microsoft.com/office/drawing/2014/main" id="{00000000-0008-0000-0000-0000640C0000}"/>
            </a:ext>
          </a:extLst>
        </xdr:cNvPr>
        <xdr:cNvSpPr>
          <a:spLocks noChangeShapeType="1"/>
        </xdr:cNvSpPr>
      </xdr:nvSpPr>
      <xdr:spPr bwMode="auto">
        <a:xfrm>
          <a:off x="971550" y="41976675"/>
          <a:ext cx="95250" cy="619125"/>
        </a:xfrm>
        <a:prstGeom prst="line">
          <a:avLst/>
        </a:prstGeom>
        <a:noFill/>
        <a:ln w="9525">
          <a:solidFill>
            <a:srgbClr val="000000"/>
          </a:solidFill>
          <a:round/>
          <a:headEnd/>
          <a:tailEnd/>
        </a:ln>
      </xdr:spPr>
    </xdr:sp>
    <xdr:clientData/>
  </xdr:twoCellAnchor>
  <xdr:twoCellAnchor>
    <xdr:from>
      <xdr:col>1</xdr:col>
      <xdr:colOff>457200</xdr:colOff>
      <xdr:row>260</xdr:row>
      <xdr:rowOff>57150</xdr:rowOff>
    </xdr:from>
    <xdr:to>
      <xdr:col>1</xdr:col>
      <xdr:colOff>504825</xdr:colOff>
      <xdr:row>261</xdr:row>
      <xdr:rowOff>95250</xdr:rowOff>
    </xdr:to>
    <xdr:sp macro="" textlink="">
      <xdr:nvSpPr>
        <xdr:cNvPr id="3173" name="Line 301">
          <a:extLst>
            <a:ext uri="{FF2B5EF4-FFF2-40B4-BE49-F238E27FC236}">
              <a16:creationId xmlns:a16="http://schemas.microsoft.com/office/drawing/2014/main" id="{00000000-0008-0000-0000-0000650C0000}"/>
            </a:ext>
          </a:extLst>
        </xdr:cNvPr>
        <xdr:cNvSpPr>
          <a:spLocks noChangeShapeType="1"/>
        </xdr:cNvSpPr>
      </xdr:nvSpPr>
      <xdr:spPr bwMode="auto">
        <a:xfrm>
          <a:off x="1066800" y="42605325"/>
          <a:ext cx="47625" cy="228600"/>
        </a:xfrm>
        <a:prstGeom prst="line">
          <a:avLst/>
        </a:prstGeom>
        <a:noFill/>
        <a:ln w="9525">
          <a:solidFill>
            <a:srgbClr val="000000"/>
          </a:solidFill>
          <a:prstDash val="dash"/>
          <a:round/>
          <a:headEnd/>
          <a:tailEnd/>
        </a:ln>
      </xdr:spPr>
    </xdr:sp>
    <xdr:clientData/>
  </xdr:twoCellAnchor>
  <xdr:twoCellAnchor>
    <xdr:from>
      <xdr:col>1</xdr:col>
      <xdr:colOff>114300</xdr:colOff>
      <xdr:row>261</xdr:row>
      <xdr:rowOff>104775</xdr:rowOff>
    </xdr:from>
    <xdr:to>
      <xdr:col>1</xdr:col>
      <xdr:colOff>504825</xdr:colOff>
      <xdr:row>261</xdr:row>
      <xdr:rowOff>104775</xdr:rowOff>
    </xdr:to>
    <xdr:sp macro="" textlink="">
      <xdr:nvSpPr>
        <xdr:cNvPr id="3174" name="Line 8415">
          <a:extLst>
            <a:ext uri="{FF2B5EF4-FFF2-40B4-BE49-F238E27FC236}">
              <a16:creationId xmlns:a16="http://schemas.microsoft.com/office/drawing/2014/main" id="{00000000-0008-0000-0000-0000660C0000}"/>
            </a:ext>
          </a:extLst>
        </xdr:cNvPr>
        <xdr:cNvSpPr>
          <a:spLocks noChangeShapeType="1"/>
        </xdr:cNvSpPr>
      </xdr:nvSpPr>
      <xdr:spPr bwMode="auto">
        <a:xfrm>
          <a:off x="723900" y="42843450"/>
          <a:ext cx="390525" cy="0"/>
        </a:xfrm>
        <a:prstGeom prst="line">
          <a:avLst/>
        </a:prstGeom>
        <a:noFill/>
        <a:ln w="9525">
          <a:solidFill>
            <a:srgbClr val="000000"/>
          </a:solidFill>
          <a:prstDash val="dash"/>
          <a:round/>
          <a:headEnd/>
          <a:tailEnd/>
        </a:ln>
      </xdr:spPr>
    </xdr:sp>
    <xdr:clientData/>
  </xdr:twoCellAnchor>
  <xdr:twoCellAnchor>
    <xdr:from>
      <xdr:col>1</xdr:col>
      <xdr:colOff>360676</xdr:colOff>
      <xdr:row>257</xdr:row>
      <xdr:rowOff>146184</xdr:rowOff>
    </xdr:from>
    <xdr:to>
      <xdr:col>4</xdr:col>
      <xdr:colOff>80486</xdr:colOff>
      <xdr:row>257</xdr:row>
      <xdr:rowOff>158843</xdr:rowOff>
    </xdr:to>
    <xdr:cxnSp macro="">
      <xdr:nvCxnSpPr>
        <xdr:cNvPr id="1598" name="Straight Connector 1597">
          <a:extLst>
            <a:ext uri="{FF2B5EF4-FFF2-40B4-BE49-F238E27FC236}">
              <a16:creationId xmlns:a16="http://schemas.microsoft.com/office/drawing/2014/main" id="{00000000-0008-0000-0000-00003E060000}"/>
            </a:ext>
          </a:extLst>
        </xdr:cNvPr>
        <xdr:cNvCxnSpPr>
          <a:stCxn id="3172" idx="0"/>
        </xdr:cNvCxnSpPr>
      </xdr:nvCxnSpPr>
      <xdr:spPr>
        <a:xfrm rot="16200000" flipH="1">
          <a:off x="1754816" y="39817218"/>
          <a:ext cx="12659" cy="15751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95250</xdr:colOff>
      <xdr:row>257</xdr:row>
      <xdr:rowOff>161925</xdr:rowOff>
    </xdr:from>
    <xdr:to>
      <xdr:col>2</xdr:col>
      <xdr:colOff>142875</xdr:colOff>
      <xdr:row>257</xdr:row>
      <xdr:rowOff>219075</xdr:rowOff>
    </xdr:to>
    <xdr:sp macro="" textlink="">
      <xdr:nvSpPr>
        <xdr:cNvPr id="3176" name="Line 357">
          <a:extLst>
            <a:ext uri="{FF2B5EF4-FFF2-40B4-BE49-F238E27FC236}">
              <a16:creationId xmlns:a16="http://schemas.microsoft.com/office/drawing/2014/main" id="{00000000-0008-0000-0000-0000680C0000}"/>
            </a:ext>
          </a:extLst>
        </xdr:cNvPr>
        <xdr:cNvSpPr>
          <a:spLocks noChangeShapeType="1"/>
        </xdr:cNvSpPr>
      </xdr:nvSpPr>
      <xdr:spPr bwMode="auto">
        <a:xfrm flipH="1">
          <a:off x="1314450" y="41995725"/>
          <a:ext cx="47625" cy="57150"/>
        </a:xfrm>
        <a:prstGeom prst="line">
          <a:avLst/>
        </a:prstGeom>
        <a:noFill/>
        <a:ln w="9525">
          <a:solidFill>
            <a:srgbClr val="000000"/>
          </a:solidFill>
          <a:round/>
          <a:headEnd/>
          <a:tailEnd/>
        </a:ln>
      </xdr:spPr>
    </xdr:sp>
    <xdr:clientData/>
  </xdr:twoCellAnchor>
  <xdr:twoCellAnchor>
    <xdr:from>
      <xdr:col>2</xdr:col>
      <xdr:colOff>114300</xdr:colOff>
      <xdr:row>257</xdr:row>
      <xdr:rowOff>161925</xdr:rowOff>
    </xdr:from>
    <xdr:to>
      <xdr:col>2</xdr:col>
      <xdr:colOff>161925</xdr:colOff>
      <xdr:row>257</xdr:row>
      <xdr:rowOff>219075</xdr:rowOff>
    </xdr:to>
    <xdr:sp macro="" textlink="">
      <xdr:nvSpPr>
        <xdr:cNvPr id="3177" name="Line 358">
          <a:extLst>
            <a:ext uri="{FF2B5EF4-FFF2-40B4-BE49-F238E27FC236}">
              <a16:creationId xmlns:a16="http://schemas.microsoft.com/office/drawing/2014/main" id="{00000000-0008-0000-0000-0000690C0000}"/>
            </a:ext>
          </a:extLst>
        </xdr:cNvPr>
        <xdr:cNvSpPr>
          <a:spLocks noChangeShapeType="1"/>
        </xdr:cNvSpPr>
      </xdr:nvSpPr>
      <xdr:spPr bwMode="auto">
        <a:xfrm flipH="1">
          <a:off x="1333500" y="41995725"/>
          <a:ext cx="47625" cy="57150"/>
        </a:xfrm>
        <a:prstGeom prst="line">
          <a:avLst/>
        </a:prstGeom>
        <a:noFill/>
        <a:ln w="9525">
          <a:solidFill>
            <a:srgbClr val="000000"/>
          </a:solidFill>
          <a:round/>
          <a:headEnd/>
          <a:tailEnd/>
        </a:ln>
      </xdr:spPr>
    </xdr:sp>
    <xdr:clientData/>
  </xdr:twoCellAnchor>
  <xdr:twoCellAnchor>
    <xdr:from>
      <xdr:col>2</xdr:col>
      <xdr:colOff>142875</xdr:colOff>
      <xdr:row>257</xdr:row>
      <xdr:rowOff>161925</xdr:rowOff>
    </xdr:from>
    <xdr:to>
      <xdr:col>2</xdr:col>
      <xdr:colOff>190500</xdr:colOff>
      <xdr:row>257</xdr:row>
      <xdr:rowOff>219075</xdr:rowOff>
    </xdr:to>
    <xdr:sp macro="" textlink="">
      <xdr:nvSpPr>
        <xdr:cNvPr id="3178" name="Line 359">
          <a:extLst>
            <a:ext uri="{FF2B5EF4-FFF2-40B4-BE49-F238E27FC236}">
              <a16:creationId xmlns:a16="http://schemas.microsoft.com/office/drawing/2014/main" id="{00000000-0008-0000-0000-00006A0C0000}"/>
            </a:ext>
          </a:extLst>
        </xdr:cNvPr>
        <xdr:cNvSpPr>
          <a:spLocks noChangeShapeType="1"/>
        </xdr:cNvSpPr>
      </xdr:nvSpPr>
      <xdr:spPr bwMode="auto">
        <a:xfrm flipH="1">
          <a:off x="1362075" y="41995725"/>
          <a:ext cx="47625" cy="57150"/>
        </a:xfrm>
        <a:prstGeom prst="line">
          <a:avLst/>
        </a:prstGeom>
        <a:noFill/>
        <a:ln w="9525">
          <a:solidFill>
            <a:srgbClr val="000000"/>
          </a:solidFill>
          <a:round/>
          <a:headEnd/>
          <a:tailEnd/>
        </a:ln>
      </xdr:spPr>
    </xdr:sp>
    <xdr:clientData/>
  </xdr:twoCellAnchor>
  <xdr:twoCellAnchor>
    <xdr:from>
      <xdr:col>2</xdr:col>
      <xdr:colOff>200025</xdr:colOff>
      <xdr:row>257</xdr:row>
      <xdr:rowOff>161925</xdr:rowOff>
    </xdr:from>
    <xdr:to>
      <xdr:col>2</xdr:col>
      <xdr:colOff>238125</xdr:colOff>
      <xdr:row>257</xdr:row>
      <xdr:rowOff>228600</xdr:rowOff>
    </xdr:to>
    <xdr:sp macro="" textlink="">
      <xdr:nvSpPr>
        <xdr:cNvPr id="3179" name="Line 360">
          <a:extLst>
            <a:ext uri="{FF2B5EF4-FFF2-40B4-BE49-F238E27FC236}">
              <a16:creationId xmlns:a16="http://schemas.microsoft.com/office/drawing/2014/main" id="{00000000-0008-0000-0000-00006B0C0000}"/>
            </a:ext>
          </a:extLst>
        </xdr:cNvPr>
        <xdr:cNvSpPr>
          <a:spLocks noChangeShapeType="1"/>
        </xdr:cNvSpPr>
      </xdr:nvSpPr>
      <xdr:spPr bwMode="auto">
        <a:xfrm>
          <a:off x="1419225" y="41995725"/>
          <a:ext cx="38100" cy="66675"/>
        </a:xfrm>
        <a:prstGeom prst="line">
          <a:avLst/>
        </a:prstGeom>
        <a:noFill/>
        <a:ln w="9525">
          <a:solidFill>
            <a:srgbClr val="000000"/>
          </a:solidFill>
          <a:round/>
          <a:headEnd/>
          <a:tailEnd/>
        </a:ln>
      </xdr:spPr>
    </xdr:sp>
    <xdr:clientData/>
  </xdr:twoCellAnchor>
  <xdr:twoCellAnchor>
    <xdr:from>
      <xdr:col>2</xdr:col>
      <xdr:colOff>219075</xdr:colOff>
      <xdr:row>257</xdr:row>
      <xdr:rowOff>161925</xdr:rowOff>
    </xdr:from>
    <xdr:to>
      <xdr:col>2</xdr:col>
      <xdr:colOff>257175</xdr:colOff>
      <xdr:row>257</xdr:row>
      <xdr:rowOff>228600</xdr:rowOff>
    </xdr:to>
    <xdr:sp macro="" textlink="">
      <xdr:nvSpPr>
        <xdr:cNvPr id="3180" name="Line 361">
          <a:extLst>
            <a:ext uri="{FF2B5EF4-FFF2-40B4-BE49-F238E27FC236}">
              <a16:creationId xmlns:a16="http://schemas.microsoft.com/office/drawing/2014/main" id="{00000000-0008-0000-0000-00006C0C0000}"/>
            </a:ext>
          </a:extLst>
        </xdr:cNvPr>
        <xdr:cNvSpPr>
          <a:spLocks noChangeShapeType="1"/>
        </xdr:cNvSpPr>
      </xdr:nvSpPr>
      <xdr:spPr bwMode="auto">
        <a:xfrm>
          <a:off x="1438275" y="41995725"/>
          <a:ext cx="38100" cy="66675"/>
        </a:xfrm>
        <a:prstGeom prst="line">
          <a:avLst/>
        </a:prstGeom>
        <a:noFill/>
        <a:ln w="9525">
          <a:solidFill>
            <a:srgbClr val="000000"/>
          </a:solidFill>
          <a:round/>
          <a:headEnd/>
          <a:tailEnd/>
        </a:ln>
      </xdr:spPr>
    </xdr:sp>
    <xdr:clientData/>
  </xdr:twoCellAnchor>
  <xdr:twoCellAnchor>
    <xdr:from>
      <xdr:col>2</xdr:col>
      <xdr:colOff>247650</xdr:colOff>
      <xdr:row>257</xdr:row>
      <xdr:rowOff>161925</xdr:rowOff>
    </xdr:from>
    <xdr:to>
      <xdr:col>2</xdr:col>
      <xdr:colOff>285750</xdr:colOff>
      <xdr:row>257</xdr:row>
      <xdr:rowOff>238125</xdr:rowOff>
    </xdr:to>
    <xdr:sp macro="" textlink="">
      <xdr:nvSpPr>
        <xdr:cNvPr id="3181" name="Line 362">
          <a:extLst>
            <a:ext uri="{FF2B5EF4-FFF2-40B4-BE49-F238E27FC236}">
              <a16:creationId xmlns:a16="http://schemas.microsoft.com/office/drawing/2014/main" id="{00000000-0008-0000-0000-00006D0C0000}"/>
            </a:ext>
          </a:extLst>
        </xdr:cNvPr>
        <xdr:cNvSpPr>
          <a:spLocks noChangeShapeType="1"/>
        </xdr:cNvSpPr>
      </xdr:nvSpPr>
      <xdr:spPr bwMode="auto">
        <a:xfrm>
          <a:off x="1466850" y="41995725"/>
          <a:ext cx="38100" cy="76200"/>
        </a:xfrm>
        <a:prstGeom prst="line">
          <a:avLst/>
        </a:prstGeom>
        <a:noFill/>
        <a:ln w="9525">
          <a:solidFill>
            <a:srgbClr val="000000"/>
          </a:solidFill>
          <a:round/>
          <a:headEnd/>
          <a:tailEnd/>
        </a:ln>
      </xdr:spPr>
    </xdr:sp>
    <xdr:clientData/>
  </xdr:twoCellAnchor>
  <xdr:twoCellAnchor>
    <xdr:from>
      <xdr:col>1</xdr:col>
      <xdr:colOff>390525</xdr:colOff>
      <xdr:row>257</xdr:row>
      <xdr:rowOff>9525</xdr:rowOff>
    </xdr:from>
    <xdr:to>
      <xdr:col>1</xdr:col>
      <xdr:colOff>390525</xdr:colOff>
      <xdr:row>257</xdr:row>
      <xdr:rowOff>161925</xdr:rowOff>
    </xdr:to>
    <xdr:sp macro="" textlink="">
      <xdr:nvSpPr>
        <xdr:cNvPr id="3182" name="Line 8972">
          <a:extLst>
            <a:ext uri="{FF2B5EF4-FFF2-40B4-BE49-F238E27FC236}">
              <a16:creationId xmlns:a16="http://schemas.microsoft.com/office/drawing/2014/main" id="{00000000-0008-0000-0000-00006E0C0000}"/>
            </a:ext>
          </a:extLst>
        </xdr:cNvPr>
        <xdr:cNvSpPr>
          <a:spLocks noChangeShapeType="1"/>
        </xdr:cNvSpPr>
      </xdr:nvSpPr>
      <xdr:spPr bwMode="auto">
        <a:xfrm rot="16200000" flipH="1">
          <a:off x="923925" y="41919525"/>
          <a:ext cx="152400" cy="0"/>
        </a:xfrm>
        <a:prstGeom prst="line">
          <a:avLst/>
        </a:prstGeom>
        <a:noFill/>
        <a:ln w="9525">
          <a:solidFill>
            <a:srgbClr val="000000"/>
          </a:solidFill>
          <a:round/>
          <a:headEnd/>
          <a:tailEnd type="arrow" w="med" len="med"/>
        </a:ln>
      </xdr:spPr>
    </xdr:sp>
    <xdr:clientData/>
  </xdr:twoCellAnchor>
  <xdr:twoCellAnchor>
    <xdr:from>
      <xdr:col>1</xdr:col>
      <xdr:colOff>466725</xdr:colOff>
      <xdr:row>257</xdr:row>
      <xdr:rowOff>9525</xdr:rowOff>
    </xdr:from>
    <xdr:to>
      <xdr:col>1</xdr:col>
      <xdr:colOff>466725</xdr:colOff>
      <xdr:row>257</xdr:row>
      <xdr:rowOff>161925</xdr:rowOff>
    </xdr:to>
    <xdr:sp macro="" textlink="">
      <xdr:nvSpPr>
        <xdr:cNvPr id="3183" name="Line 8973">
          <a:extLst>
            <a:ext uri="{FF2B5EF4-FFF2-40B4-BE49-F238E27FC236}">
              <a16:creationId xmlns:a16="http://schemas.microsoft.com/office/drawing/2014/main" id="{00000000-0008-0000-0000-00006F0C0000}"/>
            </a:ext>
          </a:extLst>
        </xdr:cNvPr>
        <xdr:cNvSpPr>
          <a:spLocks noChangeShapeType="1"/>
        </xdr:cNvSpPr>
      </xdr:nvSpPr>
      <xdr:spPr bwMode="auto">
        <a:xfrm rot="16200000" flipH="1">
          <a:off x="1000125" y="41919525"/>
          <a:ext cx="152400" cy="0"/>
        </a:xfrm>
        <a:prstGeom prst="line">
          <a:avLst/>
        </a:prstGeom>
        <a:noFill/>
        <a:ln w="9525">
          <a:solidFill>
            <a:srgbClr val="000000"/>
          </a:solidFill>
          <a:round/>
          <a:headEnd/>
          <a:tailEnd type="arrow" w="med" len="med"/>
        </a:ln>
      </xdr:spPr>
    </xdr:sp>
    <xdr:clientData/>
  </xdr:twoCellAnchor>
  <xdr:twoCellAnchor>
    <xdr:from>
      <xdr:col>1</xdr:col>
      <xdr:colOff>542925</xdr:colOff>
      <xdr:row>257</xdr:row>
      <xdr:rowOff>9525</xdr:rowOff>
    </xdr:from>
    <xdr:to>
      <xdr:col>1</xdr:col>
      <xdr:colOff>542925</xdr:colOff>
      <xdr:row>257</xdr:row>
      <xdr:rowOff>161925</xdr:rowOff>
    </xdr:to>
    <xdr:sp macro="" textlink="">
      <xdr:nvSpPr>
        <xdr:cNvPr id="3184" name="Line 8974">
          <a:extLst>
            <a:ext uri="{FF2B5EF4-FFF2-40B4-BE49-F238E27FC236}">
              <a16:creationId xmlns:a16="http://schemas.microsoft.com/office/drawing/2014/main" id="{00000000-0008-0000-0000-0000700C0000}"/>
            </a:ext>
          </a:extLst>
        </xdr:cNvPr>
        <xdr:cNvSpPr>
          <a:spLocks noChangeShapeType="1"/>
        </xdr:cNvSpPr>
      </xdr:nvSpPr>
      <xdr:spPr bwMode="auto">
        <a:xfrm rot="16200000" flipH="1">
          <a:off x="1076325" y="41919525"/>
          <a:ext cx="152400" cy="0"/>
        </a:xfrm>
        <a:prstGeom prst="line">
          <a:avLst/>
        </a:prstGeom>
        <a:noFill/>
        <a:ln w="9525">
          <a:solidFill>
            <a:srgbClr val="000000"/>
          </a:solidFill>
          <a:round/>
          <a:headEnd/>
          <a:tailEnd type="arrow" w="med" len="med"/>
        </a:ln>
      </xdr:spPr>
    </xdr:sp>
    <xdr:clientData/>
  </xdr:twoCellAnchor>
  <xdr:twoCellAnchor>
    <xdr:from>
      <xdr:col>2</xdr:col>
      <xdr:colOff>9525</xdr:colOff>
      <xdr:row>257</xdr:row>
      <xdr:rowOff>9525</xdr:rowOff>
    </xdr:from>
    <xdr:to>
      <xdr:col>2</xdr:col>
      <xdr:colOff>9525</xdr:colOff>
      <xdr:row>257</xdr:row>
      <xdr:rowOff>161925</xdr:rowOff>
    </xdr:to>
    <xdr:sp macro="" textlink="">
      <xdr:nvSpPr>
        <xdr:cNvPr id="3185" name="Line 8975">
          <a:extLst>
            <a:ext uri="{FF2B5EF4-FFF2-40B4-BE49-F238E27FC236}">
              <a16:creationId xmlns:a16="http://schemas.microsoft.com/office/drawing/2014/main" id="{00000000-0008-0000-0000-0000710C0000}"/>
            </a:ext>
          </a:extLst>
        </xdr:cNvPr>
        <xdr:cNvSpPr>
          <a:spLocks noChangeShapeType="1"/>
        </xdr:cNvSpPr>
      </xdr:nvSpPr>
      <xdr:spPr bwMode="auto">
        <a:xfrm rot="16200000" flipH="1">
          <a:off x="1152525" y="41919525"/>
          <a:ext cx="152400" cy="0"/>
        </a:xfrm>
        <a:prstGeom prst="line">
          <a:avLst/>
        </a:prstGeom>
        <a:noFill/>
        <a:ln w="9525">
          <a:solidFill>
            <a:srgbClr val="000000"/>
          </a:solidFill>
          <a:round/>
          <a:headEnd/>
          <a:tailEnd type="arrow" w="med" len="med"/>
        </a:ln>
      </xdr:spPr>
    </xdr:sp>
    <xdr:clientData/>
  </xdr:twoCellAnchor>
  <xdr:twoCellAnchor>
    <xdr:from>
      <xdr:col>2</xdr:col>
      <xdr:colOff>85725</xdr:colOff>
      <xdr:row>257</xdr:row>
      <xdr:rowOff>9525</xdr:rowOff>
    </xdr:from>
    <xdr:to>
      <xdr:col>2</xdr:col>
      <xdr:colOff>85725</xdr:colOff>
      <xdr:row>257</xdr:row>
      <xdr:rowOff>161925</xdr:rowOff>
    </xdr:to>
    <xdr:sp macro="" textlink="">
      <xdr:nvSpPr>
        <xdr:cNvPr id="3186" name="Line 8976">
          <a:extLst>
            <a:ext uri="{FF2B5EF4-FFF2-40B4-BE49-F238E27FC236}">
              <a16:creationId xmlns:a16="http://schemas.microsoft.com/office/drawing/2014/main" id="{00000000-0008-0000-0000-0000720C0000}"/>
            </a:ext>
          </a:extLst>
        </xdr:cNvPr>
        <xdr:cNvSpPr>
          <a:spLocks noChangeShapeType="1"/>
        </xdr:cNvSpPr>
      </xdr:nvSpPr>
      <xdr:spPr bwMode="auto">
        <a:xfrm rot="16200000" flipH="1">
          <a:off x="1228725" y="41919525"/>
          <a:ext cx="152400" cy="0"/>
        </a:xfrm>
        <a:prstGeom prst="line">
          <a:avLst/>
        </a:prstGeom>
        <a:noFill/>
        <a:ln w="9525">
          <a:solidFill>
            <a:srgbClr val="000000"/>
          </a:solidFill>
          <a:round/>
          <a:headEnd/>
          <a:tailEnd type="arrow" w="med" len="med"/>
        </a:ln>
      </xdr:spPr>
    </xdr:sp>
    <xdr:clientData/>
  </xdr:twoCellAnchor>
  <xdr:twoCellAnchor>
    <xdr:from>
      <xdr:col>2</xdr:col>
      <xdr:colOff>161925</xdr:colOff>
      <xdr:row>257</xdr:row>
      <xdr:rowOff>9525</xdr:rowOff>
    </xdr:from>
    <xdr:to>
      <xdr:col>2</xdr:col>
      <xdr:colOff>161925</xdr:colOff>
      <xdr:row>257</xdr:row>
      <xdr:rowOff>161925</xdr:rowOff>
    </xdr:to>
    <xdr:sp macro="" textlink="">
      <xdr:nvSpPr>
        <xdr:cNvPr id="3187" name="Line 8977">
          <a:extLst>
            <a:ext uri="{FF2B5EF4-FFF2-40B4-BE49-F238E27FC236}">
              <a16:creationId xmlns:a16="http://schemas.microsoft.com/office/drawing/2014/main" id="{00000000-0008-0000-0000-0000730C0000}"/>
            </a:ext>
          </a:extLst>
        </xdr:cNvPr>
        <xdr:cNvSpPr>
          <a:spLocks noChangeShapeType="1"/>
        </xdr:cNvSpPr>
      </xdr:nvSpPr>
      <xdr:spPr bwMode="auto">
        <a:xfrm rot="16200000" flipH="1">
          <a:off x="1304925" y="41919525"/>
          <a:ext cx="152400" cy="0"/>
        </a:xfrm>
        <a:prstGeom prst="line">
          <a:avLst/>
        </a:prstGeom>
        <a:noFill/>
        <a:ln w="9525">
          <a:solidFill>
            <a:srgbClr val="000000"/>
          </a:solidFill>
          <a:round/>
          <a:headEnd/>
          <a:tailEnd type="arrow" w="med" len="med"/>
        </a:ln>
      </xdr:spPr>
    </xdr:sp>
    <xdr:clientData/>
  </xdr:twoCellAnchor>
  <xdr:twoCellAnchor>
    <xdr:from>
      <xdr:col>2</xdr:col>
      <xdr:colOff>247650</xdr:colOff>
      <xdr:row>257</xdr:row>
      <xdr:rowOff>9525</xdr:rowOff>
    </xdr:from>
    <xdr:to>
      <xdr:col>2</xdr:col>
      <xdr:colOff>247650</xdr:colOff>
      <xdr:row>257</xdr:row>
      <xdr:rowOff>161925</xdr:rowOff>
    </xdr:to>
    <xdr:sp macro="" textlink="">
      <xdr:nvSpPr>
        <xdr:cNvPr id="3188" name="Line 8978">
          <a:extLst>
            <a:ext uri="{FF2B5EF4-FFF2-40B4-BE49-F238E27FC236}">
              <a16:creationId xmlns:a16="http://schemas.microsoft.com/office/drawing/2014/main" id="{00000000-0008-0000-0000-0000740C0000}"/>
            </a:ext>
          </a:extLst>
        </xdr:cNvPr>
        <xdr:cNvSpPr>
          <a:spLocks noChangeShapeType="1"/>
        </xdr:cNvSpPr>
      </xdr:nvSpPr>
      <xdr:spPr bwMode="auto">
        <a:xfrm rot="16200000" flipH="1">
          <a:off x="1390650" y="41919525"/>
          <a:ext cx="152400" cy="0"/>
        </a:xfrm>
        <a:prstGeom prst="line">
          <a:avLst/>
        </a:prstGeom>
        <a:noFill/>
        <a:ln w="9525">
          <a:solidFill>
            <a:srgbClr val="000000"/>
          </a:solidFill>
          <a:round/>
          <a:headEnd/>
          <a:tailEnd type="arrow" w="med" len="med"/>
        </a:ln>
      </xdr:spPr>
    </xdr:sp>
    <xdr:clientData/>
  </xdr:twoCellAnchor>
  <xdr:twoCellAnchor>
    <xdr:from>
      <xdr:col>2</xdr:col>
      <xdr:colOff>323850</xdr:colOff>
      <xdr:row>257</xdr:row>
      <xdr:rowOff>9525</xdr:rowOff>
    </xdr:from>
    <xdr:to>
      <xdr:col>2</xdr:col>
      <xdr:colOff>323850</xdr:colOff>
      <xdr:row>257</xdr:row>
      <xdr:rowOff>161925</xdr:rowOff>
    </xdr:to>
    <xdr:sp macro="" textlink="">
      <xdr:nvSpPr>
        <xdr:cNvPr id="3189" name="Line 8979">
          <a:extLst>
            <a:ext uri="{FF2B5EF4-FFF2-40B4-BE49-F238E27FC236}">
              <a16:creationId xmlns:a16="http://schemas.microsoft.com/office/drawing/2014/main" id="{00000000-0008-0000-0000-0000750C0000}"/>
            </a:ext>
          </a:extLst>
        </xdr:cNvPr>
        <xdr:cNvSpPr>
          <a:spLocks noChangeShapeType="1"/>
        </xdr:cNvSpPr>
      </xdr:nvSpPr>
      <xdr:spPr bwMode="auto">
        <a:xfrm rot="16200000" flipH="1">
          <a:off x="1466850" y="41919525"/>
          <a:ext cx="152400" cy="0"/>
        </a:xfrm>
        <a:prstGeom prst="line">
          <a:avLst/>
        </a:prstGeom>
        <a:noFill/>
        <a:ln w="9525">
          <a:solidFill>
            <a:srgbClr val="000000"/>
          </a:solidFill>
          <a:round/>
          <a:headEnd/>
          <a:tailEnd type="arrow" w="med" len="med"/>
        </a:ln>
      </xdr:spPr>
    </xdr:sp>
    <xdr:clientData/>
  </xdr:twoCellAnchor>
  <xdr:twoCellAnchor>
    <xdr:from>
      <xdr:col>2</xdr:col>
      <xdr:colOff>400050</xdr:colOff>
      <xdr:row>257</xdr:row>
      <xdr:rowOff>9525</xdr:rowOff>
    </xdr:from>
    <xdr:to>
      <xdr:col>2</xdr:col>
      <xdr:colOff>400050</xdr:colOff>
      <xdr:row>257</xdr:row>
      <xdr:rowOff>161925</xdr:rowOff>
    </xdr:to>
    <xdr:sp macro="" textlink="">
      <xdr:nvSpPr>
        <xdr:cNvPr id="3190" name="Line 8980">
          <a:extLst>
            <a:ext uri="{FF2B5EF4-FFF2-40B4-BE49-F238E27FC236}">
              <a16:creationId xmlns:a16="http://schemas.microsoft.com/office/drawing/2014/main" id="{00000000-0008-0000-0000-0000760C0000}"/>
            </a:ext>
          </a:extLst>
        </xdr:cNvPr>
        <xdr:cNvSpPr>
          <a:spLocks noChangeShapeType="1"/>
        </xdr:cNvSpPr>
      </xdr:nvSpPr>
      <xdr:spPr bwMode="auto">
        <a:xfrm rot="16200000" flipH="1">
          <a:off x="1543050" y="41919525"/>
          <a:ext cx="152400" cy="0"/>
        </a:xfrm>
        <a:prstGeom prst="line">
          <a:avLst/>
        </a:prstGeom>
        <a:noFill/>
        <a:ln w="9525">
          <a:solidFill>
            <a:srgbClr val="000000"/>
          </a:solidFill>
          <a:round/>
          <a:headEnd/>
          <a:tailEnd type="arrow" w="med" len="med"/>
        </a:ln>
      </xdr:spPr>
    </xdr:sp>
    <xdr:clientData/>
  </xdr:twoCellAnchor>
  <xdr:twoCellAnchor>
    <xdr:from>
      <xdr:col>2</xdr:col>
      <xdr:colOff>485775</xdr:colOff>
      <xdr:row>257</xdr:row>
      <xdr:rowOff>9525</xdr:rowOff>
    </xdr:from>
    <xdr:to>
      <xdr:col>2</xdr:col>
      <xdr:colOff>485775</xdr:colOff>
      <xdr:row>257</xdr:row>
      <xdr:rowOff>161925</xdr:rowOff>
    </xdr:to>
    <xdr:sp macro="" textlink="">
      <xdr:nvSpPr>
        <xdr:cNvPr id="3191" name="Line 8981">
          <a:extLst>
            <a:ext uri="{FF2B5EF4-FFF2-40B4-BE49-F238E27FC236}">
              <a16:creationId xmlns:a16="http://schemas.microsoft.com/office/drawing/2014/main" id="{00000000-0008-0000-0000-0000770C0000}"/>
            </a:ext>
          </a:extLst>
        </xdr:cNvPr>
        <xdr:cNvSpPr>
          <a:spLocks noChangeShapeType="1"/>
        </xdr:cNvSpPr>
      </xdr:nvSpPr>
      <xdr:spPr bwMode="auto">
        <a:xfrm rot="16200000" flipH="1">
          <a:off x="1628775" y="41919525"/>
          <a:ext cx="152400" cy="0"/>
        </a:xfrm>
        <a:prstGeom prst="line">
          <a:avLst/>
        </a:prstGeom>
        <a:noFill/>
        <a:ln w="9525">
          <a:solidFill>
            <a:srgbClr val="000000"/>
          </a:solidFill>
          <a:round/>
          <a:headEnd/>
          <a:tailEnd type="arrow" w="med" len="med"/>
        </a:ln>
      </xdr:spPr>
    </xdr:sp>
    <xdr:clientData/>
  </xdr:twoCellAnchor>
  <xdr:twoCellAnchor>
    <xdr:from>
      <xdr:col>2</xdr:col>
      <xdr:colOff>561975</xdr:colOff>
      <xdr:row>257</xdr:row>
      <xdr:rowOff>0</xdr:rowOff>
    </xdr:from>
    <xdr:to>
      <xdr:col>2</xdr:col>
      <xdr:colOff>561975</xdr:colOff>
      <xdr:row>257</xdr:row>
      <xdr:rowOff>161925</xdr:rowOff>
    </xdr:to>
    <xdr:sp macro="" textlink="">
      <xdr:nvSpPr>
        <xdr:cNvPr id="3192" name="Line 8982">
          <a:extLst>
            <a:ext uri="{FF2B5EF4-FFF2-40B4-BE49-F238E27FC236}">
              <a16:creationId xmlns:a16="http://schemas.microsoft.com/office/drawing/2014/main" id="{00000000-0008-0000-0000-0000780C0000}"/>
            </a:ext>
          </a:extLst>
        </xdr:cNvPr>
        <xdr:cNvSpPr>
          <a:spLocks noChangeShapeType="1"/>
        </xdr:cNvSpPr>
      </xdr:nvSpPr>
      <xdr:spPr bwMode="auto">
        <a:xfrm rot="16200000" flipH="1">
          <a:off x="1700212" y="41914763"/>
          <a:ext cx="161925" cy="0"/>
        </a:xfrm>
        <a:prstGeom prst="line">
          <a:avLst/>
        </a:prstGeom>
        <a:noFill/>
        <a:ln w="9525">
          <a:solidFill>
            <a:srgbClr val="000000"/>
          </a:solidFill>
          <a:round/>
          <a:headEnd/>
          <a:tailEnd type="arrow" w="med" len="med"/>
        </a:ln>
      </xdr:spPr>
    </xdr:sp>
    <xdr:clientData/>
  </xdr:twoCellAnchor>
  <xdr:twoCellAnchor>
    <xdr:from>
      <xdr:col>3</xdr:col>
      <xdr:colOff>9525</xdr:colOff>
      <xdr:row>257</xdr:row>
      <xdr:rowOff>9525</xdr:rowOff>
    </xdr:from>
    <xdr:to>
      <xdr:col>3</xdr:col>
      <xdr:colOff>9525</xdr:colOff>
      <xdr:row>257</xdr:row>
      <xdr:rowOff>161925</xdr:rowOff>
    </xdr:to>
    <xdr:sp macro="" textlink="">
      <xdr:nvSpPr>
        <xdr:cNvPr id="3193" name="Line 8983">
          <a:extLst>
            <a:ext uri="{FF2B5EF4-FFF2-40B4-BE49-F238E27FC236}">
              <a16:creationId xmlns:a16="http://schemas.microsoft.com/office/drawing/2014/main" id="{00000000-0008-0000-0000-0000790C0000}"/>
            </a:ext>
          </a:extLst>
        </xdr:cNvPr>
        <xdr:cNvSpPr>
          <a:spLocks noChangeShapeType="1"/>
        </xdr:cNvSpPr>
      </xdr:nvSpPr>
      <xdr:spPr bwMode="auto">
        <a:xfrm rot="16200000" flipH="1">
          <a:off x="1781175" y="41919525"/>
          <a:ext cx="152400" cy="0"/>
        </a:xfrm>
        <a:prstGeom prst="line">
          <a:avLst/>
        </a:prstGeom>
        <a:noFill/>
        <a:ln w="9525">
          <a:solidFill>
            <a:srgbClr val="000000"/>
          </a:solidFill>
          <a:round/>
          <a:headEnd/>
          <a:tailEnd type="arrow" w="med" len="med"/>
        </a:ln>
      </xdr:spPr>
    </xdr:sp>
    <xdr:clientData/>
  </xdr:twoCellAnchor>
  <xdr:twoCellAnchor>
    <xdr:from>
      <xdr:col>3</xdr:col>
      <xdr:colOff>95250</xdr:colOff>
      <xdr:row>257</xdr:row>
      <xdr:rowOff>9525</xdr:rowOff>
    </xdr:from>
    <xdr:to>
      <xdr:col>3</xdr:col>
      <xdr:colOff>95250</xdr:colOff>
      <xdr:row>257</xdr:row>
      <xdr:rowOff>161925</xdr:rowOff>
    </xdr:to>
    <xdr:sp macro="" textlink="">
      <xdr:nvSpPr>
        <xdr:cNvPr id="3194" name="Line 8984">
          <a:extLst>
            <a:ext uri="{FF2B5EF4-FFF2-40B4-BE49-F238E27FC236}">
              <a16:creationId xmlns:a16="http://schemas.microsoft.com/office/drawing/2014/main" id="{00000000-0008-0000-0000-00007A0C0000}"/>
            </a:ext>
          </a:extLst>
        </xdr:cNvPr>
        <xdr:cNvSpPr>
          <a:spLocks noChangeShapeType="1"/>
        </xdr:cNvSpPr>
      </xdr:nvSpPr>
      <xdr:spPr bwMode="auto">
        <a:xfrm rot="16200000" flipH="1">
          <a:off x="1866900" y="41919525"/>
          <a:ext cx="152400" cy="0"/>
        </a:xfrm>
        <a:prstGeom prst="line">
          <a:avLst/>
        </a:prstGeom>
        <a:noFill/>
        <a:ln w="9525">
          <a:solidFill>
            <a:srgbClr val="000000"/>
          </a:solidFill>
          <a:round/>
          <a:headEnd/>
          <a:tailEnd type="arrow" w="med" len="med"/>
        </a:ln>
      </xdr:spPr>
    </xdr:sp>
    <xdr:clientData/>
  </xdr:twoCellAnchor>
  <xdr:twoCellAnchor>
    <xdr:from>
      <xdr:col>0</xdr:col>
      <xdr:colOff>190500</xdr:colOff>
      <xdr:row>260</xdr:row>
      <xdr:rowOff>47625</xdr:rowOff>
    </xdr:from>
    <xdr:to>
      <xdr:col>2</xdr:col>
      <xdr:colOff>419100</xdr:colOff>
      <xdr:row>260</xdr:row>
      <xdr:rowOff>47625</xdr:rowOff>
    </xdr:to>
    <xdr:sp macro="" textlink="">
      <xdr:nvSpPr>
        <xdr:cNvPr id="3195" name="Line 356">
          <a:extLst>
            <a:ext uri="{FF2B5EF4-FFF2-40B4-BE49-F238E27FC236}">
              <a16:creationId xmlns:a16="http://schemas.microsoft.com/office/drawing/2014/main" id="{00000000-0008-0000-0000-00007B0C0000}"/>
            </a:ext>
          </a:extLst>
        </xdr:cNvPr>
        <xdr:cNvSpPr>
          <a:spLocks noChangeShapeType="1"/>
        </xdr:cNvSpPr>
      </xdr:nvSpPr>
      <xdr:spPr bwMode="auto">
        <a:xfrm flipH="1">
          <a:off x="190500" y="42595800"/>
          <a:ext cx="1447800" cy="0"/>
        </a:xfrm>
        <a:prstGeom prst="line">
          <a:avLst/>
        </a:prstGeom>
        <a:noFill/>
        <a:ln w="9525">
          <a:solidFill>
            <a:srgbClr val="000000"/>
          </a:solidFill>
          <a:round/>
          <a:headEnd/>
          <a:tailEnd/>
        </a:ln>
      </xdr:spPr>
    </xdr:sp>
    <xdr:clientData/>
  </xdr:twoCellAnchor>
  <xdr:twoCellAnchor>
    <xdr:from>
      <xdr:col>1</xdr:col>
      <xdr:colOff>104775</xdr:colOff>
      <xdr:row>259</xdr:row>
      <xdr:rowOff>123825</xdr:rowOff>
    </xdr:from>
    <xdr:to>
      <xdr:col>2</xdr:col>
      <xdr:colOff>409575</xdr:colOff>
      <xdr:row>261</xdr:row>
      <xdr:rowOff>142875</xdr:rowOff>
    </xdr:to>
    <xdr:grpSp>
      <xdr:nvGrpSpPr>
        <xdr:cNvPr id="3196" name="Group 1194">
          <a:extLst>
            <a:ext uri="{FF2B5EF4-FFF2-40B4-BE49-F238E27FC236}">
              <a16:creationId xmlns:a16="http://schemas.microsoft.com/office/drawing/2014/main" id="{00000000-0008-0000-0000-00007C0C0000}"/>
            </a:ext>
          </a:extLst>
        </xdr:cNvPr>
        <xdr:cNvGrpSpPr>
          <a:grpSpLocks/>
        </xdr:cNvGrpSpPr>
      </xdr:nvGrpSpPr>
      <xdr:grpSpPr bwMode="auto">
        <a:xfrm>
          <a:off x="714375" y="51835050"/>
          <a:ext cx="914400" cy="447675"/>
          <a:chOff x="676274" y="32327850"/>
          <a:chExt cx="904875" cy="563257"/>
        </a:xfrm>
      </xdr:grpSpPr>
      <xdr:sp macro="" textlink="">
        <xdr:nvSpPr>
          <xdr:cNvPr id="1659" name="Right Brace 1658">
            <a:extLst>
              <a:ext uri="{FF2B5EF4-FFF2-40B4-BE49-F238E27FC236}">
                <a16:creationId xmlns:a16="http://schemas.microsoft.com/office/drawing/2014/main" id="{00000000-0008-0000-0000-00007B060000}"/>
              </a:ext>
            </a:extLst>
          </xdr:cNvPr>
          <xdr:cNvSpPr/>
        </xdr:nvSpPr>
        <xdr:spPr>
          <a:xfrm rot="5400000">
            <a:off x="958306" y="32234333"/>
            <a:ext cx="227700" cy="414734"/>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IN" sz="1100"/>
          </a:p>
        </xdr:txBody>
      </xdr:sp>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a:off x="676274" y="32519597"/>
            <a:ext cx="904875" cy="371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100"/>
              <a:t>Σ</a:t>
            </a:r>
            <a:r>
              <a:rPr lang="en-US" sz="1100"/>
              <a:t> V + W' + S</a:t>
            </a:r>
            <a:endParaRPr lang="en-IN" sz="1100"/>
          </a:p>
        </xdr:txBody>
      </xdr:sp>
    </xdr:grpSp>
    <xdr:clientData/>
  </xdr:twoCellAnchor>
  <xdr:twoCellAnchor>
    <xdr:from>
      <xdr:col>1</xdr:col>
      <xdr:colOff>219075</xdr:colOff>
      <xdr:row>259</xdr:row>
      <xdr:rowOff>47625</xdr:rowOff>
    </xdr:from>
    <xdr:to>
      <xdr:col>1</xdr:col>
      <xdr:colOff>314325</xdr:colOff>
      <xdr:row>259</xdr:row>
      <xdr:rowOff>47625</xdr:rowOff>
    </xdr:to>
    <xdr:sp macro="" textlink="">
      <xdr:nvSpPr>
        <xdr:cNvPr id="3197" name="Line 365">
          <a:extLst>
            <a:ext uri="{FF2B5EF4-FFF2-40B4-BE49-F238E27FC236}">
              <a16:creationId xmlns:a16="http://schemas.microsoft.com/office/drawing/2014/main" id="{00000000-0008-0000-0000-00007D0C0000}"/>
            </a:ext>
          </a:extLst>
        </xdr:cNvPr>
        <xdr:cNvSpPr>
          <a:spLocks noChangeShapeType="1"/>
        </xdr:cNvSpPr>
      </xdr:nvSpPr>
      <xdr:spPr bwMode="auto">
        <a:xfrm flipH="1">
          <a:off x="828675" y="42357675"/>
          <a:ext cx="95250" cy="0"/>
        </a:xfrm>
        <a:prstGeom prst="line">
          <a:avLst/>
        </a:prstGeom>
        <a:noFill/>
        <a:ln w="9525">
          <a:solidFill>
            <a:srgbClr val="000000"/>
          </a:solidFill>
          <a:round/>
          <a:headEnd/>
          <a:tailEnd type="arrow" w="sm" len="sm"/>
        </a:ln>
      </xdr:spPr>
    </xdr:sp>
    <xdr:clientData/>
  </xdr:twoCellAnchor>
  <xdr:twoCellAnchor>
    <xdr:from>
      <xdr:col>1</xdr:col>
      <xdr:colOff>314325</xdr:colOff>
      <xdr:row>259</xdr:row>
      <xdr:rowOff>47625</xdr:rowOff>
    </xdr:from>
    <xdr:to>
      <xdr:col>1</xdr:col>
      <xdr:colOff>314325</xdr:colOff>
      <xdr:row>259</xdr:row>
      <xdr:rowOff>161925</xdr:rowOff>
    </xdr:to>
    <xdr:sp macro="" textlink="">
      <xdr:nvSpPr>
        <xdr:cNvPr id="3198" name="Line 438">
          <a:extLst>
            <a:ext uri="{FF2B5EF4-FFF2-40B4-BE49-F238E27FC236}">
              <a16:creationId xmlns:a16="http://schemas.microsoft.com/office/drawing/2014/main" id="{00000000-0008-0000-0000-00007E0C0000}"/>
            </a:ext>
          </a:extLst>
        </xdr:cNvPr>
        <xdr:cNvSpPr>
          <a:spLocks noChangeShapeType="1"/>
        </xdr:cNvSpPr>
      </xdr:nvSpPr>
      <xdr:spPr bwMode="auto">
        <a:xfrm>
          <a:off x="923925" y="42357675"/>
          <a:ext cx="0" cy="114300"/>
        </a:xfrm>
        <a:prstGeom prst="line">
          <a:avLst/>
        </a:prstGeom>
        <a:noFill/>
        <a:ln w="9525">
          <a:solidFill>
            <a:srgbClr val="000000"/>
          </a:solidFill>
          <a:round/>
          <a:headEnd/>
          <a:tailEnd type="triangle" w="med" len="sm"/>
        </a:ln>
      </xdr:spPr>
    </xdr:sp>
    <xdr:clientData/>
  </xdr:twoCellAnchor>
  <xdr:twoCellAnchor>
    <xdr:from>
      <xdr:col>2</xdr:col>
      <xdr:colOff>523875</xdr:colOff>
      <xdr:row>258</xdr:row>
      <xdr:rowOff>38100</xdr:rowOff>
    </xdr:from>
    <xdr:to>
      <xdr:col>3</xdr:col>
      <xdr:colOff>209550</xdr:colOff>
      <xdr:row>258</xdr:row>
      <xdr:rowOff>38100</xdr:rowOff>
    </xdr:to>
    <xdr:sp macro="" textlink="">
      <xdr:nvSpPr>
        <xdr:cNvPr id="3199" name="Line 8973">
          <a:extLst>
            <a:ext uri="{FF2B5EF4-FFF2-40B4-BE49-F238E27FC236}">
              <a16:creationId xmlns:a16="http://schemas.microsoft.com/office/drawing/2014/main" id="{00000000-0008-0000-0000-00007F0C0000}"/>
            </a:ext>
          </a:extLst>
        </xdr:cNvPr>
        <xdr:cNvSpPr>
          <a:spLocks noChangeShapeType="1"/>
        </xdr:cNvSpPr>
      </xdr:nvSpPr>
      <xdr:spPr bwMode="auto">
        <a:xfrm flipH="1">
          <a:off x="1743075" y="4211002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258</xdr:row>
      <xdr:rowOff>152400</xdr:rowOff>
    </xdr:from>
    <xdr:to>
      <xdr:col>3</xdr:col>
      <xdr:colOff>219075</xdr:colOff>
      <xdr:row>258</xdr:row>
      <xdr:rowOff>152400</xdr:rowOff>
    </xdr:to>
    <xdr:sp macro="" textlink="">
      <xdr:nvSpPr>
        <xdr:cNvPr id="3200" name="Line 8975">
          <a:extLst>
            <a:ext uri="{FF2B5EF4-FFF2-40B4-BE49-F238E27FC236}">
              <a16:creationId xmlns:a16="http://schemas.microsoft.com/office/drawing/2014/main" id="{00000000-0008-0000-0000-0000800C0000}"/>
            </a:ext>
          </a:extLst>
        </xdr:cNvPr>
        <xdr:cNvSpPr>
          <a:spLocks noChangeShapeType="1"/>
        </xdr:cNvSpPr>
      </xdr:nvSpPr>
      <xdr:spPr bwMode="auto">
        <a:xfrm flipH="1">
          <a:off x="1752600" y="4222432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258</xdr:row>
      <xdr:rowOff>238125</xdr:rowOff>
    </xdr:from>
    <xdr:to>
      <xdr:col>3</xdr:col>
      <xdr:colOff>219075</xdr:colOff>
      <xdr:row>258</xdr:row>
      <xdr:rowOff>238125</xdr:rowOff>
    </xdr:to>
    <xdr:sp macro="" textlink="">
      <xdr:nvSpPr>
        <xdr:cNvPr id="3201" name="Line 8977">
          <a:extLst>
            <a:ext uri="{FF2B5EF4-FFF2-40B4-BE49-F238E27FC236}">
              <a16:creationId xmlns:a16="http://schemas.microsoft.com/office/drawing/2014/main" id="{00000000-0008-0000-0000-0000810C0000}"/>
            </a:ext>
          </a:extLst>
        </xdr:cNvPr>
        <xdr:cNvSpPr>
          <a:spLocks noChangeShapeType="1"/>
        </xdr:cNvSpPr>
      </xdr:nvSpPr>
      <xdr:spPr bwMode="auto">
        <a:xfrm flipH="1">
          <a:off x="1752600" y="42310050"/>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259</xdr:row>
      <xdr:rowOff>104775</xdr:rowOff>
    </xdr:from>
    <xdr:to>
      <xdr:col>3</xdr:col>
      <xdr:colOff>219075</xdr:colOff>
      <xdr:row>259</xdr:row>
      <xdr:rowOff>104775</xdr:rowOff>
    </xdr:to>
    <xdr:sp macro="" textlink="">
      <xdr:nvSpPr>
        <xdr:cNvPr id="3202" name="Line 8978">
          <a:extLst>
            <a:ext uri="{FF2B5EF4-FFF2-40B4-BE49-F238E27FC236}">
              <a16:creationId xmlns:a16="http://schemas.microsoft.com/office/drawing/2014/main" id="{00000000-0008-0000-0000-0000820C0000}"/>
            </a:ext>
          </a:extLst>
        </xdr:cNvPr>
        <xdr:cNvSpPr>
          <a:spLocks noChangeShapeType="1"/>
        </xdr:cNvSpPr>
      </xdr:nvSpPr>
      <xdr:spPr bwMode="auto">
        <a:xfrm flipH="1">
          <a:off x="1752600" y="4241482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259</xdr:row>
      <xdr:rowOff>171450</xdr:rowOff>
    </xdr:from>
    <xdr:to>
      <xdr:col>3</xdr:col>
      <xdr:colOff>219075</xdr:colOff>
      <xdr:row>259</xdr:row>
      <xdr:rowOff>171450</xdr:rowOff>
    </xdr:to>
    <xdr:sp macro="" textlink="">
      <xdr:nvSpPr>
        <xdr:cNvPr id="3203" name="Line 8980">
          <a:extLst>
            <a:ext uri="{FF2B5EF4-FFF2-40B4-BE49-F238E27FC236}">
              <a16:creationId xmlns:a16="http://schemas.microsoft.com/office/drawing/2014/main" id="{00000000-0008-0000-0000-0000830C0000}"/>
            </a:ext>
          </a:extLst>
        </xdr:cNvPr>
        <xdr:cNvSpPr>
          <a:spLocks noChangeShapeType="1"/>
        </xdr:cNvSpPr>
      </xdr:nvSpPr>
      <xdr:spPr bwMode="auto">
        <a:xfrm flipH="1">
          <a:off x="1752600" y="42481500"/>
          <a:ext cx="314325" cy="0"/>
        </a:xfrm>
        <a:prstGeom prst="line">
          <a:avLst/>
        </a:prstGeom>
        <a:noFill/>
        <a:ln w="9525">
          <a:solidFill>
            <a:srgbClr val="000000"/>
          </a:solidFill>
          <a:round/>
          <a:headEnd/>
          <a:tailEnd type="arrow" w="med" len="med"/>
        </a:ln>
      </xdr:spPr>
    </xdr:sp>
    <xdr:clientData/>
  </xdr:twoCellAnchor>
  <xdr:twoCellAnchor>
    <xdr:from>
      <xdr:col>2</xdr:col>
      <xdr:colOff>542925</xdr:colOff>
      <xdr:row>260</xdr:row>
      <xdr:rowOff>9525</xdr:rowOff>
    </xdr:from>
    <xdr:to>
      <xdr:col>3</xdr:col>
      <xdr:colOff>219075</xdr:colOff>
      <xdr:row>260</xdr:row>
      <xdr:rowOff>9525</xdr:rowOff>
    </xdr:to>
    <xdr:sp macro="" textlink="">
      <xdr:nvSpPr>
        <xdr:cNvPr id="3204" name="Line 8982">
          <a:extLst>
            <a:ext uri="{FF2B5EF4-FFF2-40B4-BE49-F238E27FC236}">
              <a16:creationId xmlns:a16="http://schemas.microsoft.com/office/drawing/2014/main" id="{00000000-0008-0000-0000-0000840C0000}"/>
            </a:ext>
          </a:extLst>
        </xdr:cNvPr>
        <xdr:cNvSpPr>
          <a:spLocks noChangeShapeType="1"/>
        </xdr:cNvSpPr>
      </xdr:nvSpPr>
      <xdr:spPr bwMode="auto">
        <a:xfrm flipH="1">
          <a:off x="1762125" y="42557700"/>
          <a:ext cx="304800" cy="0"/>
        </a:xfrm>
        <a:prstGeom prst="line">
          <a:avLst/>
        </a:prstGeom>
        <a:noFill/>
        <a:ln w="9525">
          <a:solidFill>
            <a:srgbClr val="000000"/>
          </a:solidFill>
          <a:round/>
          <a:headEnd/>
          <a:tailEnd type="arrow" w="med" len="med"/>
        </a:ln>
      </xdr:spPr>
    </xdr:sp>
    <xdr:clientData/>
  </xdr:twoCellAnchor>
  <xdr:twoCellAnchor>
    <xdr:from>
      <xdr:col>2</xdr:col>
      <xdr:colOff>533400</xdr:colOff>
      <xdr:row>260</xdr:row>
      <xdr:rowOff>95250</xdr:rowOff>
    </xdr:from>
    <xdr:to>
      <xdr:col>3</xdr:col>
      <xdr:colOff>219075</xdr:colOff>
      <xdr:row>260</xdr:row>
      <xdr:rowOff>95250</xdr:rowOff>
    </xdr:to>
    <xdr:sp macro="" textlink="">
      <xdr:nvSpPr>
        <xdr:cNvPr id="3205" name="Line 8984">
          <a:extLst>
            <a:ext uri="{FF2B5EF4-FFF2-40B4-BE49-F238E27FC236}">
              <a16:creationId xmlns:a16="http://schemas.microsoft.com/office/drawing/2014/main" id="{00000000-0008-0000-0000-0000850C0000}"/>
            </a:ext>
          </a:extLst>
        </xdr:cNvPr>
        <xdr:cNvSpPr>
          <a:spLocks noChangeShapeType="1"/>
        </xdr:cNvSpPr>
      </xdr:nvSpPr>
      <xdr:spPr bwMode="auto">
        <a:xfrm flipH="1">
          <a:off x="1752600" y="42643425"/>
          <a:ext cx="314325" cy="0"/>
        </a:xfrm>
        <a:prstGeom prst="line">
          <a:avLst/>
        </a:prstGeom>
        <a:noFill/>
        <a:ln w="9525">
          <a:solidFill>
            <a:srgbClr val="000000"/>
          </a:solidFill>
          <a:round/>
          <a:headEnd/>
          <a:tailEnd type="arrow" w="med" len="med"/>
        </a:ln>
      </xdr:spPr>
    </xdr:sp>
    <xdr:clientData/>
  </xdr:twoCellAnchor>
  <xdr:twoCellAnchor>
    <xdr:from>
      <xdr:col>2</xdr:col>
      <xdr:colOff>523875</xdr:colOff>
      <xdr:row>260</xdr:row>
      <xdr:rowOff>180975</xdr:rowOff>
    </xdr:from>
    <xdr:to>
      <xdr:col>3</xdr:col>
      <xdr:colOff>209550</xdr:colOff>
      <xdr:row>260</xdr:row>
      <xdr:rowOff>180975</xdr:rowOff>
    </xdr:to>
    <xdr:sp macro="" textlink="">
      <xdr:nvSpPr>
        <xdr:cNvPr id="3206" name="Line 8973">
          <a:extLst>
            <a:ext uri="{FF2B5EF4-FFF2-40B4-BE49-F238E27FC236}">
              <a16:creationId xmlns:a16="http://schemas.microsoft.com/office/drawing/2014/main" id="{00000000-0008-0000-0000-0000860C0000}"/>
            </a:ext>
          </a:extLst>
        </xdr:cNvPr>
        <xdr:cNvSpPr>
          <a:spLocks noChangeShapeType="1"/>
        </xdr:cNvSpPr>
      </xdr:nvSpPr>
      <xdr:spPr bwMode="auto">
        <a:xfrm flipH="1">
          <a:off x="1743075" y="42729150"/>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261</xdr:row>
      <xdr:rowOff>76200</xdr:rowOff>
    </xdr:from>
    <xdr:to>
      <xdr:col>3</xdr:col>
      <xdr:colOff>219075</xdr:colOff>
      <xdr:row>261</xdr:row>
      <xdr:rowOff>76200</xdr:rowOff>
    </xdr:to>
    <xdr:sp macro="" textlink="">
      <xdr:nvSpPr>
        <xdr:cNvPr id="3207" name="Line 8975">
          <a:extLst>
            <a:ext uri="{FF2B5EF4-FFF2-40B4-BE49-F238E27FC236}">
              <a16:creationId xmlns:a16="http://schemas.microsoft.com/office/drawing/2014/main" id="{00000000-0008-0000-0000-0000870C0000}"/>
            </a:ext>
          </a:extLst>
        </xdr:cNvPr>
        <xdr:cNvSpPr>
          <a:spLocks noChangeShapeType="1"/>
        </xdr:cNvSpPr>
      </xdr:nvSpPr>
      <xdr:spPr bwMode="auto">
        <a:xfrm flipH="1">
          <a:off x="1752600" y="4281487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261</xdr:row>
      <xdr:rowOff>152400</xdr:rowOff>
    </xdr:from>
    <xdr:to>
      <xdr:col>3</xdr:col>
      <xdr:colOff>219075</xdr:colOff>
      <xdr:row>261</xdr:row>
      <xdr:rowOff>152400</xdr:rowOff>
    </xdr:to>
    <xdr:sp macro="" textlink="">
      <xdr:nvSpPr>
        <xdr:cNvPr id="3208" name="Line 8977">
          <a:extLst>
            <a:ext uri="{FF2B5EF4-FFF2-40B4-BE49-F238E27FC236}">
              <a16:creationId xmlns:a16="http://schemas.microsoft.com/office/drawing/2014/main" id="{00000000-0008-0000-0000-0000880C0000}"/>
            </a:ext>
          </a:extLst>
        </xdr:cNvPr>
        <xdr:cNvSpPr>
          <a:spLocks noChangeShapeType="1"/>
        </xdr:cNvSpPr>
      </xdr:nvSpPr>
      <xdr:spPr bwMode="auto">
        <a:xfrm flipH="1">
          <a:off x="1752600" y="4289107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262</xdr:row>
      <xdr:rowOff>38100</xdr:rowOff>
    </xdr:from>
    <xdr:to>
      <xdr:col>3</xdr:col>
      <xdr:colOff>219075</xdr:colOff>
      <xdr:row>262</xdr:row>
      <xdr:rowOff>38100</xdr:rowOff>
    </xdr:to>
    <xdr:sp macro="" textlink="">
      <xdr:nvSpPr>
        <xdr:cNvPr id="3209" name="Line 8978">
          <a:extLst>
            <a:ext uri="{FF2B5EF4-FFF2-40B4-BE49-F238E27FC236}">
              <a16:creationId xmlns:a16="http://schemas.microsoft.com/office/drawing/2014/main" id="{00000000-0008-0000-0000-0000890C0000}"/>
            </a:ext>
          </a:extLst>
        </xdr:cNvPr>
        <xdr:cNvSpPr>
          <a:spLocks noChangeShapeType="1"/>
        </xdr:cNvSpPr>
      </xdr:nvSpPr>
      <xdr:spPr bwMode="auto">
        <a:xfrm flipH="1">
          <a:off x="1752600" y="42967275"/>
          <a:ext cx="314325" cy="0"/>
        </a:xfrm>
        <a:prstGeom prst="line">
          <a:avLst/>
        </a:prstGeom>
        <a:noFill/>
        <a:ln w="9525">
          <a:solidFill>
            <a:srgbClr val="000000"/>
          </a:solidFill>
          <a:round/>
          <a:headEnd/>
          <a:tailEnd type="arrow" w="med" len="med"/>
        </a:ln>
      </xdr:spPr>
    </xdr:sp>
    <xdr:clientData/>
  </xdr:twoCellAnchor>
  <xdr:twoCellAnchor>
    <xdr:from>
      <xdr:col>2</xdr:col>
      <xdr:colOff>533400</xdr:colOff>
      <xdr:row>262</xdr:row>
      <xdr:rowOff>104775</xdr:rowOff>
    </xdr:from>
    <xdr:to>
      <xdr:col>3</xdr:col>
      <xdr:colOff>219075</xdr:colOff>
      <xdr:row>262</xdr:row>
      <xdr:rowOff>104775</xdr:rowOff>
    </xdr:to>
    <xdr:sp macro="" textlink="">
      <xdr:nvSpPr>
        <xdr:cNvPr id="3210" name="Line 8980">
          <a:extLst>
            <a:ext uri="{FF2B5EF4-FFF2-40B4-BE49-F238E27FC236}">
              <a16:creationId xmlns:a16="http://schemas.microsoft.com/office/drawing/2014/main" id="{00000000-0008-0000-0000-00008A0C0000}"/>
            </a:ext>
          </a:extLst>
        </xdr:cNvPr>
        <xdr:cNvSpPr>
          <a:spLocks noChangeShapeType="1"/>
        </xdr:cNvSpPr>
      </xdr:nvSpPr>
      <xdr:spPr bwMode="auto">
        <a:xfrm flipH="1">
          <a:off x="1752600" y="43033950"/>
          <a:ext cx="314325" cy="0"/>
        </a:xfrm>
        <a:prstGeom prst="line">
          <a:avLst/>
        </a:prstGeom>
        <a:noFill/>
        <a:ln w="9525">
          <a:solidFill>
            <a:srgbClr val="000000"/>
          </a:solidFill>
          <a:round/>
          <a:headEnd/>
          <a:tailEnd type="arrow" w="med" len="med"/>
        </a:ln>
      </xdr:spPr>
    </xdr:sp>
    <xdr:clientData/>
  </xdr:twoCellAnchor>
  <xdr:twoCellAnchor>
    <xdr:from>
      <xdr:col>4</xdr:col>
      <xdr:colOff>190500</xdr:colOff>
      <xdr:row>257</xdr:row>
      <xdr:rowOff>228600</xdr:rowOff>
    </xdr:from>
    <xdr:to>
      <xdr:col>4</xdr:col>
      <xdr:colOff>504825</xdr:colOff>
      <xdr:row>257</xdr:row>
      <xdr:rowOff>228600</xdr:rowOff>
    </xdr:to>
    <xdr:sp macro="" textlink="">
      <xdr:nvSpPr>
        <xdr:cNvPr id="3211" name="Line 8973">
          <a:extLst>
            <a:ext uri="{FF2B5EF4-FFF2-40B4-BE49-F238E27FC236}">
              <a16:creationId xmlns:a16="http://schemas.microsoft.com/office/drawing/2014/main" id="{00000000-0008-0000-0000-00008B0C0000}"/>
            </a:ext>
          </a:extLst>
        </xdr:cNvPr>
        <xdr:cNvSpPr>
          <a:spLocks noChangeShapeType="1"/>
        </xdr:cNvSpPr>
      </xdr:nvSpPr>
      <xdr:spPr bwMode="auto">
        <a:xfrm flipH="1">
          <a:off x="2647950" y="42062400"/>
          <a:ext cx="314325" cy="0"/>
        </a:xfrm>
        <a:prstGeom prst="line">
          <a:avLst/>
        </a:prstGeom>
        <a:noFill/>
        <a:ln w="9525">
          <a:solidFill>
            <a:srgbClr val="000000"/>
          </a:solidFill>
          <a:round/>
          <a:headEnd/>
          <a:tailEnd type="arrow" w="med" len="med"/>
        </a:ln>
      </xdr:spPr>
    </xdr:sp>
    <xdr:clientData/>
  </xdr:twoCellAnchor>
  <xdr:twoCellAnchor>
    <xdr:from>
      <xdr:col>4</xdr:col>
      <xdr:colOff>180975</xdr:colOff>
      <xdr:row>258</xdr:row>
      <xdr:rowOff>76200</xdr:rowOff>
    </xdr:from>
    <xdr:to>
      <xdr:col>4</xdr:col>
      <xdr:colOff>495300</xdr:colOff>
      <xdr:row>258</xdr:row>
      <xdr:rowOff>76200</xdr:rowOff>
    </xdr:to>
    <xdr:sp macro="" textlink="">
      <xdr:nvSpPr>
        <xdr:cNvPr id="3212" name="Line 8975">
          <a:extLst>
            <a:ext uri="{FF2B5EF4-FFF2-40B4-BE49-F238E27FC236}">
              <a16:creationId xmlns:a16="http://schemas.microsoft.com/office/drawing/2014/main" id="{00000000-0008-0000-0000-00008C0C0000}"/>
            </a:ext>
          </a:extLst>
        </xdr:cNvPr>
        <xdr:cNvSpPr>
          <a:spLocks noChangeShapeType="1"/>
        </xdr:cNvSpPr>
      </xdr:nvSpPr>
      <xdr:spPr bwMode="auto">
        <a:xfrm flipH="1">
          <a:off x="2638425" y="42148125"/>
          <a:ext cx="314325" cy="0"/>
        </a:xfrm>
        <a:prstGeom prst="line">
          <a:avLst/>
        </a:prstGeom>
        <a:noFill/>
        <a:ln w="9525">
          <a:solidFill>
            <a:srgbClr val="000000"/>
          </a:solidFill>
          <a:round/>
          <a:headEnd/>
          <a:tailEnd type="arrow" w="med" len="med"/>
        </a:ln>
      </xdr:spPr>
    </xdr:sp>
    <xdr:clientData/>
  </xdr:twoCellAnchor>
  <xdr:twoCellAnchor>
    <xdr:from>
      <xdr:col>4</xdr:col>
      <xdr:colOff>190500</xdr:colOff>
      <xdr:row>258</xdr:row>
      <xdr:rowOff>171450</xdr:rowOff>
    </xdr:from>
    <xdr:to>
      <xdr:col>4</xdr:col>
      <xdr:colOff>504825</xdr:colOff>
      <xdr:row>258</xdr:row>
      <xdr:rowOff>171450</xdr:rowOff>
    </xdr:to>
    <xdr:sp macro="" textlink="">
      <xdr:nvSpPr>
        <xdr:cNvPr id="3213" name="Line 8977">
          <a:extLst>
            <a:ext uri="{FF2B5EF4-FFF2-40B4-BE49-F238E27FC236}">
              <a16:creationId xmlns:a16="http://schemas.microsoft.com/office/drawing/2014/main" id="{00000000-0008-0000-0000-00008D0C0000}"/>
            </a:ext>
          </a:extLst>
        </xdr:cNvPr>
        <xdr:cNvSpPr>
          <a:spLocks noChangeShapeType="1"/>
        </xdr:cNvSpPr>
      </xdr:nvSpPr>
      <xdr:spPr bwMode="auto">
        <a:xfrm flipH="1">
          <a:off x="2647950" y="42243375"/>
          <a:ext cx="314325" cy="0"/>
        </a:xfrm>
        <a:prstGeom prst="line">
          <a:avLst/>
        </a:prstGeom>
        <a:noFill/>
        <a:ln w="9525">
          <a:solidFill>
            <a:srgbClr val="000000"/>
          </a:solidFill>
          <a:round/>
          <a:headEnd/>
          <a:tailEnd type="arrow" w="med" len="med"/>
        </a:ln>
      </xdr:spPr>
    </xdr:sp>
    <xdr:clientData/>
  </xdr:twoCellAnchor>
  <xdr:twoCellAnchor>
    <xdr:from>
      <xdr:col>4</xdr:col>
      <xdr:colOff>190500</xdr:colOff>
      <xdr:row>259</xdr:row>
      <xdr:rowOff>57150</xdr:rowOff>
    </xdr:from>
    <xdr:to>
      <xdr:col>4</xdr:col>
      <xdr:colOff>504825</xdr:colOff>
      <xdr:row>259</xdr:row>
      <xdr:rowOff>57150</xdr:rowOff>
    </xdr:to>
    <xdr:sp macro="" textlink="">
      <xdr:nvSpPr>
        <xdr:cNvPr id="3214" name="Line 8978">
          <a:extLst>
            <a:ext uri="{FF2B5EF4-FFF2-40B4-BE49-F238E27FC236}">
              <a16:creationId xmlns:a16="http://schemas.microsoft.com/office/drawing/2014/main" id="{00000000-0008-0000-0000-00008E0C0000}"/>
            </a:ext>
          </a:extLst>
        </xdr:cNvPr>
        <xdr:cNvSpPr>
          <a:spLocks noChangeShapeType="1"/>
        </xdr:cNvSpPr>
      </xdr:nvSpPr>
      <xdr:spPr bwMode="auto">
        <a:xfrm flipH="1">
          <a:off x="2647950" y="42367200"/>
          <a:ext cx="314325" cy="0"/>
        </a:xfrm>
        <a:prstGeom prst="line">
          <a:avLst/>
        </a:prstGeom>
        <a:noFill/>
        <a:ln w="9525">
          <a:solidFill>
            <a:srgbClr val="000000"/>
          </a:solidFill>
          <a:round/>
          <a:headEnd/>
          <a:tailEnd type="arrow" w="med" len="med"/>
        </a:ln>
      </xdr:spPr>
    </xdr:sp>
    <xdr:clientData/>
  </xdr:twoCellAnchor>
  <xdr:twoCellAnchor>
    <xdr:from>
      <xdr:col>4</xdr:col>
      <xdr:colOff>180975</xdr:colOff>
      <xdr:row>259</xdr:row>
      <xdr:rowOff>161925</xdr:rowOff>
    </xdr:from>
    <xdr:to>
      <xdr:col>4</xdr:col>
      <xdr:colOff>495300</xdr:colOff>
      <xdr:row>259</xdr:row>
      <xdr:rowOff>161925</xdr:rowOff>
    </xdr:to>
    <xdr:sp macro="" textlink="">
      <xdr:nvSpPr>
        <xdr:cNvPr id="3215" name="Line 8980">
          <a:extLst>
            <a:ext uri="{FF2B5EF4-FFF2-40B4-BE49-F238E27FC236}">
              <a16:creationId xmlns:a16="http://schemas.microsoft.com/office/drawing/2014/main" id="{00000000-0008-0000-0000-00008F0C0000}"/>
            </a:ext>
          </a:extLst>
        </xdr:cNvPr>
        <xdr:cNvSpPr>
          <a:spLocks noChangeShapeType="1"/>
        </xdr:cNvSpPr>
      </xdr:nvSpPr>
      <xdr:spPr bwMode="auto">
        <a:xfrm flipH="1">
          <a:off x="2638425" y="42471975"/>
          <a:ext cx="314325" cy="0"/>
        </a:xfrm>
        <a:prstGeom prst="line">
          <a:avLst/>
        </a:prstGeom>
        <a:noFill/>
        <a:ln w="9525">
          <a:solidFill>
            <a:srgbClr val="000000"/>
          </a:solidFill>
          <a:round/>
          <a:headEnd/>
          <a:tailEnd type="arrow" w="med" len="med"/>
        </a:ln>
      </xdr:spPr>
    </xdr:sp>
    <xdr:clientData/>
  </xdr:twoCellAnchor>
  <xdr:twoCellAnchor>
    <xdr:from>
      <xdr:col>4</xdr:col>
      <xdr:colOff>190500</xdr:colOff>
      <xdr:row>260</xdr:row>
      <xdr:rowOff>28575</xdr:rowOff>
    </xdr:from>
    <xdr:to>
      <xdr:col>4</xdr:col>
      <xdr:colOff>504825</xdr:colOff>
      <xdr:row>260</xdr:row>
      <xdr:rowOff>28575</xdr:rowOff>
    </xdr:to>
    <xdr:sp macro="" textlink="">
      <xdr:nvSpPr>
        <xdr:cNvPr id="3216" name="Line 8982">
          <a:extLst>
            <a:ext uri="{FF2B5EF4-FFF2-40B4-BE49-F238E27FC236}">
              <a16:creationId xmlns:a16="http://schemas.microsoft.com/office/drawing/2014/main" id="{00000000-0008-0000-0000-0000900C0000}"/>
            </a:ext>
          </a:extLst>
        </xdr:cNvPr>
        <xdr:cNvSpPr>
          <a:spLocks noChangeShapeType="1"/>
        </xdr:cNvSpPr>
      </xdr:nvSpPr>
      <xdr:spPr bwMode="auto">
        <a:xfrm flipH="1">
          <a:off x="2647950" y="42576750"/>
          <a:ext cx="314325" cy="0"/>
        </a:xfrm>
        <a:prstGeom prst="line">
          <a:avLst/>
        </a:prstGeom>
        <a:noFill/>
        <a:ln w="9525">
          <a:solidFill>
            <a:srgbClr val="000000"/>
          </a:solidFill>
          <a:round/>
          <a:headEnd/>
          <a:tailEnd type="arrow" w="med" len="med"/>
        </a:ln>
      </xdr:spPr>
    </xdr:sp>
    <xdr:clientData/>
  </xdr:twoCellAnchor>
  <xdr:twoCellAnchor>
    <xdr:from>
      <xdr:col>3</xdr:col>
      <xdr:colOff>323850</xdr:colOff>
      <xdr:row>258</xdr:row>
      <xdr:rowOff>57150</xdr:rowOff>
    </xdr:from>
    <xdr:to>
      <xdr:col>3</xdr:col>
      <xdr:colOff>457200</xdr:colOff>
      <xdr:row>258</xdr:row>
      <xdr:rowOff>57150</xdr:rowOff>
    </xdr:to>
    <xdr:sp macro="" textlink="">
      <xdr:nvSpPr>
        <xdr:cNvPr id="3217" name="Line 8987">
          <a:extLst>
            <a:ext uri="{FF2B5EF4-FFF2-40B4-BE49-F238E27FC236}">
              <a16:creationId xmlns:a16="http://schemas.microsoft.com/office/drawing/2014/main" id="{00000000-0008-0000-0000-0000910C0000}"/>
            </a:ext>
          </a:extLst>
        </xdr:cNvPr>
        <xdr:cNvSpPr>
          <a:spLocks noChangeShapeType="1"/>
        </xdr:cNvSpPr>
      </xdr:nvSpPr>
      <xdr:spPr bwMode="auto">
        <a:xfrm flipH="1">
          <a:off x="2171700" y="42129075"/>
          <a:ext cx="133350" cy="0"/>
        </a:xfrm>
        <a:prstGeom prst="line">
          <a:avLst/>
        </a:prstGeom>
        <a:noFill/>
        <a:ln w="9525">
          <a:solidFill>
            <a:srgbClr val="000000"/>
          </a:solidFill>
          <a:round/>
          <a:headEnd/>
          <a:tailEnd type="arrow" w="med" len="med"/>
        </a:ln>
      </xdr:spPr>
    </xdr:sp>
    <xdr:clientData/>
  </xdr:twoCellAnchor>
  <xdr:twoCellAnchor>
    <xdr:from>
      <xdr:col>3</xdr:col>
      <xdr:colOff>323850</xdr:colOff>
      <xdr:row>258</xdr:row>
      <xdr:rowOff>190500</xdr:rowOff>
    </xdr:from>
    <xdr:to>
      <xdr:col>3</xdr:col>
      <xdr:colOff>504825</xdr:colOff>
      <xdr:row>258</xdr:row>
      <xdr:rowOff>190500</xdr:rowOff>
    </xdr:to>
    <xdr:sp macro="" textlink="">
      <xdr:nvSpPr>
        <xdr:cNvPr id="3218" name="Line 8988">
          <a:extLst>
            <a:ext uri="{FF2B5EF4-FFF2-40B4-BE49-F238E27FC236}">
              <a16:creationId xmlns:a16="http://schemas.microsoft.com/office/drawing/2014/main" id="{00000000-0008-0000-0000-0000920C0000}"/>
            </a:ext>
          </a:extLst>
        </xdr:cNvPr>
        <xdr:cNvSpPr>
          <a:spLocks noChangeShapeType="1"/>
        </xdr:cNvSpPr>
      </xdr:nvSpPr>
      <xdr:spPr bwMode="auto">
        <a:xfrm flipH="1">
          <a:off x="2171700" y="42262425"/>
          <a:ext cx="180975" cy="0"/>
        </a:xfrm>
        <a:prstGeom prst="line">
          <a:avLst/>
        </a:prstGeom>
        <a:noFill/>
        <a:ln w="9525">
          <a:solidFill>
            <a:srgbClr val="000000"/>
          </a:solidFill>
          <a:round/>
          <a:headEnd/>
          <a:tailEnd type="arrow" w="med" len="med"/>
        </a:ln>
      </xdr:spPr>
    </xdr:sp>
    <xdr:clientData/>
  </xdr:twoCellAnchor>
  <xdr:twoCellAnchor>
    <xdr:from>
      <xdr:col>3</xdr:col>
      <xdr:colOff>323850</xdr:colOff>
      <xdr:row>259</xdr:row>
      <xdr:rowOff>104775</xdr:rowOff>
    </xdr:from>
    <xdr:to>
      <xdr:col>3</xdr:col>
      <xdr:colOff>590550</xdr:colOff>
      <xdr:row>259</xdr:row>
      <xdr:rowOff>104775</xdr:rowOff>
    </xdr:to>
    <xdr:sp macro="" textlink="">
      <xdr:nvSpPr>
        <xdr:cNvPr id="3219" name="Line 8990">
          <a:extLst>
            <a:ext uri="{FF2B5EF4-FFF2-40B4-BE49-F238E27FC236}">
              <a16:creationId xmlns:a16="http://schemas.microsoft.com/office/drawing/2014/main" id="{00000000-0008-0000-0000-0000930C0000}"/>
            </a:ext>
          </a:extLst>
        </xdr:cNvPr>
        <xdr:cNvSpPr>
          <a:spLocks noChangeShapeType="1"/>
        </xdr:cNvSpPr>
      </xdr:nvSpPr>
      <xdr:spPr bwMode="auto">
        <a:xfrm flipH="1">
          <a:off x="2171700" y="42414825"/>
          <a:ext cx="266700" cy="0"/>
        </a:xfrm>
        <a:prstGeom prst="line">
          <a:avLst/>
        </a:prstGeom>
        <a:noFill/>
        <a:ln w="9525">
          <a:solidFill>
            <a:srgbClr val="000000"/>
          </a:solidFill>
          <a:round/>
          <a:headEnd/>
          <a:tailEnd type="arrow" w="med" len="med"/>
        </a:ln>
      </xdr:spPr>
    </xdr:sp>
    <xdr:clientData/>
  </xdr:twoCellAnchor>
  <xdr:twoCellAnchor>
    <xdr:from>
      <xdr:col>3</xdr:col>
      <xdr:colOff>323850</xdr:colOff>
      <xdr:row>259</xdr:row>
      <xdr:rowOff>238125</xdr:rowOff>
    </xdr:from>
    <xdr:to>
      <xdr:col>4</xdr:col>
      <xdr:colOff>76200</xdr:colOff>
      <xdr:row>259</xdr:row>
      <xdr:rowOff>238125</xdr:rowOff>
    </xdr:to>
    <xdr:sp macro="" textlink="">
      <xdr:nvSpPr>
        <xdr:cNvPr id="3220" name="Line 8992">
          <a:extLst>
            <a:ext uri="{FF2B5EF4-FFF2-40B4-BE49-F238E27FC236}">
              <a16:creationId xmlns:a16="http://schemas.microsoft.com/office/drawing/2014/main" id="{00000000-0008-0000-0000-0000940C0000}"/>
            </a:ext>
          </a:extLst>
        </xdr:cNvPr>
        <xdr:cNvSpPr>
          <a:spLocks noChangeShapeType="1"/>
        </xdr:cNvSpPr>
      </xdr:nvSpPr>
      <xdr:spPr bwMode="auto">
        <a:xfrm flipH="1">
          <a:off x="2171700" y="42548175"/>
          <a:ext cx="361950" cy="0"/>
        </a:xfrm>
        <a:prstGeom prst="line">
          <a:avLst/>
        </a:prstGeom>
        <a:noFill/>
        <a:ln w="9525">
          <a:solidFill>
            <a:srgbClr val="000000"/>
          </a:solidFill>
          <a:round/>
          <a:headEnd/>
          <a:tailEnd type="arrow" w="med" len="med"/>
        </a:ln>
      </xdr:spPr>
    </xdr:sp>
    <xdr:clientData/>
  </xdr:twoCellAnchor>
  <xdr:twoCellAnchor>
    <xdr:from>
      <xdr:col>3</xdr:col>
      <xdr:colOff>323850</xdr:colOff>
      <xdr:row>260</xdr:row>
      <xdr:rowOff>171450</xdr:rowOff>
    </xdr:from>
    <xdr:to>
      <xdr:col>4</xdr:col>
      <xdr:colOff>114300</xdr:colOff>
      <xdr:row>260</xdr:row>
      <xdr:rowOff>171450</xdr:rowOff>
    </xdr:to>
    <xdr:sp macro="" textlink="">
      <xdr:nvSpPr>
        <xdr:cNvPr id="3221" name="Line 8993">
          <a:extLst>
            <a:ext uri="{FF2B5EF4-FFF2-40B4-BE49-F238E27FC236}">
              <a16:creationId xmlns:a16="http://schemas.microsoft.com/office/drawing/2014/main" id="{00000000-0008-0000-0000-0000950C0000}"/>
            </a:ext>
          </a:extLst>
        </xdr:cNvPr>
        <xdr:cNvSpPr>
          <a:spLocks noChangeShapeType="1"/>
        </xdr:cNvSpPr>
      </xdr:nvSpPr>
      <xdr:spPr bwMode="auto">
        <a:xfrm flipH="1">
          <a:off x="2171700" y="42719625"/>
          <a:ext cx="400050" cy="0"/>
        </a:xfrm>
        <a:prstGeom prst="line">
          <a:avLst/>
        </a:prstGeom>
        <a:noFill/>
        <a:ln w="9525">
          <a:solidFill>
            <a:srgbClr val="000000"/>
          </a:solidFill>
          <a:round/>
          <a:headEnd/>
          <a:tailEnd type="arrow" w="med" len="med"/>
        </a:ln>
      </xdr:spPr>
    </xdr:sp>
    <xdr:clientData/>
  </xdr:twoCellAnchor>
  <xdr:twoCellAnchor>
    <xdr:from>
      <xdr:col>3</xdr:col>
      <xdr:colOff>333375</xdr:colOff>
      <xdr:row>261</xdr:row>
      <xdr:rowOff>142875</xdr:rowOff>
    </xdr:from>
    <xdr:to>
      <xdr:col>4</xdr:col>
      <xdr:colOff>228600</xdr:colOff>
      <xdr:row>261</xdr:row>
      <xdr:rowOff>142875</xdr:rowOff>
    </xdr:to>
    <xdr:sp macro="" textlink="">
      <xdr:nvSpPr>
        <xdr:cNvPr id="3222" name="Line 8995">
          <a:extLst>
            <a:ext uri="{FF2B5EF4-FFF2-40B4-BE49-F238E27FC236}">
              <a16:creationId xmlns:a16="http://schemas.microsoft.com/office/drawing/2014/main" id="{00000000-0008-0000-0000-0000960C0000}"/>
            </a:ext>
          </a:extLst>
        </xdr:cNvPr>
        <xdr:cNvSpPr>
          <a:spLocks noChangeShapeType="1"/>
        </xdr:cNvSpPr>
      </xdr:nvSpPr>
      <xdr:spPr bwMode="auto">
        <a:xfrm flipH="1">
          <a:off x="2181225" y="42881550"/>
          <a:ext cx="504825" cy="0"/>
        </a:xfrm>
        <a:prstGeom prst="line">
          <a:avLst/>
        </a:prstGeom>
        <a:noFill/>
        <a:ln w="9525">
          <a:solidFill>
            <a:srgbClr val="000000"/>
          </a:solidFill>
          <a:round/>
          <a:headEnd/>
          <a:tailEnd type="arrow" w="med" len="med"/>
        </a:ln>
      </xdr:spPr>
    </xdr:sp>
    <xdr:clientData/>
  </xdr:twoCellAnchor>
  <xdr:twoCellAnchor>
    <xdr:from>
      <xdr:col>3</xdr:col>
      <xdr:colOff>333375</xdr:colOff>
      <xdr:row>262</xdr:row>
      <xdr:rowOff>95250</xdr:rowOff>
    </xdr:from>
    <xdr:to>
      <xdr:col>4</xdr:col>
      <xdr:colOff>333375</xdr:colOff>
      <xdr:row>262</xdr:row>
      <xdr:rowOff>95250</xdr:rowOff>
    </xdr:to>
    <xdr:sp macro="" textlink="">
      <xdr:nvSpPr>
        <xdr:cNvPr id="3223" name="Line 8997">
          <a:extLst>
            <a:ext uri="{FF2B5EF4-FFF2-40B4-BE49-F238E27FC236}">
              <a16:creationId xmlns:a16="http://schemas.microsoft.com/office/drawing/2014/main" id="{00000000-0008-0000-0000-0000970C0000}"/>
            </a:ext>
          </a:extLst>
        </xdr:cNvPr>
        <xdr:cNvSpPr>
          <a:spLocks noChangeShapeType="1"/>
        </xdr:cNvSpPr>
      </xdr:nvSpPr>
      <xdr:spPr bwMode="auto">
        <a:xfrm flipH="1">
          <a:off x="2181225" y="43024425"/>
          <a:ext cx="609600" cy="0"/>
        </a:xfrm>
        <a:prstGeom prst="line">
          <a:avLst/>
        </a:prstGeom>
        <a:noFill/>
        <a:ln w="9525">
          <a:solidFill>
            <a:srgbClr val="000000"/>
          </a:solidFill>
          <a:round/>
          <a:headEnd/>
          <a:tailEnd type="arrow" w="med" len="med"/>
        </a:ln>
      </xdr:spPr>
    </xdr:sp>
    <xdr:clientData/>
  </xdr:twoCellAnchor>
  <xdr:twoCellAnchor>
    <xdr:from>
      <xdr:col>0</xdr:col>
      <xdr:colOff>28575</xdr:colOff>
      <xdr:row>263</xdr:row>
      <xdr:rowOff>9525</xdr:rowOff>
    </xdr:from>
    <xdr:to>
      <xdr:col>6</xdr:col>
      <xdr:colOff>114300</xdr:colOff>
      <xdr:row>264</xdr:row>
      <xdr:rowOff>114300</xdr:rowOff>
    </xdr:to>
    <xdr:sp macro="" textlink="">
      <xdr:nvSpPr>
        <xdr:cNvPr id="3224" name="TextBox 1651">
          <a:extLst>
            <a:ext uri="{FF2B5EF4-FFF2-40B4-BE49-F238E27FC236}">
              <a16:creationId xmlns:a16="http://schemas.microsoft.com/office/drawing/2014/main" id="{00000000-0008-0000-0000-0000980C0000}"/>
            </a:ext>
          </a:extLst>
        </xdr:cNvPr>
        <xdr:cNvSpPr txBox="1">
          <a:spLocks noChangeArrowheads="1"/>
        </xdr:cNvSpPr>
      </xdr:nvSpPr>
      <xdr:spPr bwMode="auto">
        <a:xfrm>
          <a:off x="28575" y="43129200"/>
          <a:ext cx="3762375" cy="2952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l-GR" sz="1100" b="0" i="0" strike="noStrike">
              <a:solidFill>
                <a:srgbClr val="000000"/>
              </a:solidFill>
              <a:latin typeface="Calibri"/>
            </a:rPr>
            <a:t>Σ </a:t>
          </a:r>
          <a:r>
            <a:rPr lang="en-US" sz="1100" b="0" i="0" strike="noStrike">
              <a:solidFill>
                <a:srgbClr val="000000"/>
              </a:solidFill>
              <a:latin typeface="Calibri"/>
            </a:rPr>
            <a:t>H = P (Surcharge) + P (Soil) + P (inc. Surcharge) + P (inc. Soil) </a:t>
          </a:r>
        </a:p>
      </xdr:txBody>
    </xdr:sp>
    <xdr:clientData/>
  </xdr:twoCellAnchor>
  <xdr:twoCellAnchor>
    <xdr:from>
      <xdr:col>2</xdr:col>
      <xdr:colOff>514984</xdr:colOff>
      <xdr:row>258</xdr:row>
      <xdr:rowOff>1804</xdr:rowOff>
    </xdr:from>
    <xdr:to>
      <xdr:col>3</xdr:col>
      <xdr:colOff>260597</xdr:colOff>
      <xdr:row>262</xdr:row>
      <xdr:rowOff>170398</xdr:rowOff>
    </xdr:to>
    <xdr:sp macro="" textlink="">
      <xdr:nvSpPr>
        <xdr:cNvPr id="1655" name="Rectangle 1654">
          <a:extLst>
            <a:ext uri="{FF2B5EF4-FFF2-40B4-BE49-F238E27FC236}">
              <a16:creationId xmlns:a16="http://schemas.microsoft.com/office/drawing/2014/main" id="{00000000-0008-0000-0000-000077060000}"/>
            </a:ext>
          </a:extLst>
        </xdr:cNvPr>
        <xdr:cNvSpPr/>
      </xdr:nvSpPr>
      <xdr:spPr>
        <a:xfrm>
          <a:off x="1740810" y="40694261"/>
          <a:ext cx="375091" cy="1029985"/>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4</xdr:col>
      <xdr:colOff>167042</xdr:colOff>
      <xdr:row>257</xdr:row>
      <xdr:rowOff>154780</xdr:rowOff>
    </xdr:from>
    <xdr:to>
      <xdr:col>4</xdr:col>
      <xdr:colOff>542133</xdr:colOff>
      <xdr:row>260</xdr:row>
      <xdr:rowOff>88536</xdr:rowOff>
    </xdr:to>
    <xdr:sp macro="" textlink="">
      <xdr:nvSpPr>
        <xdr:cNvPr id="1656" name="Rectangle 1655">
          <a:extLst>
            <a:ext uri="{FF2B5EF4-FFF2-40B4-BE49-F238E27FC236}">
              <a16:creationId xmlns:a16="http://schemas.microsoft.com/office/drawing/2014/main" id="{00000000-0008-0000-0000-000078060000}"/>
            </a:ext>
          </a:extLst>
        </xdr:cNvPr>
        <xdr:cNvSpPr/>
      </xdr:nvSpPr>
      <xdr:spPr>
        <a:xfrm>
          <a:off x="2619730" y="42154077"/>
          <a:ext cx="375091" cy="648131"/>
        </a:xfrm>
        <a:prstGeom prst="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3</xdr:col>
      <xdr:colOff>347157</xdr:colOff>
      <xdr:row>257</xdr:row>
      <xdr:rowOff>172599</xdr:rowOff>
    </xdr:from>
    <xdr:to>
      <xdr:col>4</xdr:col>
      <xdr:colOff>349779</xdr:colOff>
      <xdr:row>262</xdr:row>
      <xdr:rowOff>156581</xdr:rowOff>
    </xdr:to>
    <xdr:sp macro="" textlink="">
      <xdr:nvSpPr>
        <xdr:cNvPr id="1657" name="Right Triangle 1656">
          <a:extLst>
            <a:ext uri="{FF2B5EF4-FFF2-40B4-BE49-F238E27FC236}">
              <a16:creationId xmlns:a16="http://schemas.microsoft.com/office/drawing/2014/main" id="{00000000-0008-0000-0000-000079060000}"/>
            </a:ext>
          </a:extLst>
        </xdr:cNvPr>
        <xdr:cNvSpPr/>
      </xdr:nvSpPr>
      <xdr:spPr>
        <a:xfrm>
          <a:off x="2202461" y="40624860"/>
          <a:ext cx="615535" cy="1085569"/>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5</xdr:col>
      <xdr:colOff>28805</xdr:colOff>
      <xdr:row>257</xdr:row>
      <xdr:rowOff>148827</xdr:rowOff>
    </xdr:from>
    <xdr:to>
      <xdr:col>5</xdr:col>
      <xdr:colOff>496568</xdr:colOff>
      <xdr:row>260</xdr:row>
      <xdr:rowOff>92352</xdr:rowOff>
    </xdr:to>
    <xdr:sp macro="" textlink="">
      <xdr:nvSpPr>
        <xdr:cNvPr id="1658" name="Right Triangle 1657">
          <a:extLst>
            <a:ext uri="{FF2B5EF4-FFF2-40B4-BE49-F238E27FC236}">
              <a16:creationId xmlns:a16="http://schemas.microsoft.com/office/drawing/2014/main" id="{00000000-0008-0000-0000-00007A060000}"/>
            </a:ext>
          </a:extLst>
        </xdr:cNvPr>
        <xdr:cNvSpPr/>
      </xdr:nvSpPr>
      <xdr:spPr>
        <a:xfrm rot="10800000">
          <a:off x="3088711" y="42148124"/>
          <a:ext cx="467763" cy="657900"/>
        </a:xfrm>
        <a:prstGeom prst="rtTriangl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IN" sz="1100"/>
        </a:p>
      </xdr:txBody>
    </xdr:sp>
    <xdr:clientData/>
  </xdr:twoCellAnchor>
  <xdr:twoCellAnchor>
    <xdr:from>
      <xdr:col>1</xdr:col>
      <xdr:colOff>401115</xdr:colOff>
      <xdr:row>255</xdr:row>
      <xdr:rowOff>186889</xdr:rowOff>
    </xdr:from>
    <xdr:to>
      <xdr:col>3</xdr:col>
      <xdr:colOff>209401</xdr:colOff>
      <xdr:row>257</xdr:row>
      <xdr:rowOff>101833</xdr:rowOff>
    </xdr:to>
    <xdr:sp macro="" textlink="">
      <xdr:nvSpPr>
        <xdr:cNvPr id="1664" name="Text Box 8517">
          <a:extLst>
            <a:ext uri="{FF2B5EF4-FFF2-40B4-BE49-F238E27FC236}">
              <a16:creationId xmlns:a16="http://schemas.microsoft.com/office/drawing/2014/main" id="{00000000-0008-0000-0000-000080060000}"/>
            </a:ext>
          </a:extLst>
        </xdr:cNvPr>
        <xdr:cNvSpPr txBox="1">
          <a:spLocks noChangeArrowheads="1"/>
        </xdr:cNvSpPr>
      </xdr:nvSpPr>
      <xdr:spPr bwMode="auto">
        <a:xfrm>
          <a:off x="1010715" y="40353814"/>
          <a:ext cx="1027486" cy="295944"/>
        </a:xfrm>
        <a:prstGeom prst="rect">
          <a:avLst/>
        </a:prstGeom>
        <a:noFill/>
        <a:ln w="9525">
          <a:noFill/>
          <a:miter lim="800000"/>
          <a:headEnd/>
          <a:tailEnd/>
        </a:ln>
      </xdr:spPr>
      <xdr:txBody>
        <a:bodyPr vertOverflow="clip" wrap="square" lIns="27432" tIns="27432" rIns="0" bIns="0" anchor="t" upright="1"/>
        <a:lstStyle/>
        <a:p>
          <a:pPr algn="l" rtl="1">
            <a:defRPr sz="1000"/>
          </a:pPr>
          <a:r>
            <a:rPr lang="en-US" sz="900" b="0" i="0" strike="noStrike">
              <a:solidFill>
                <a:srgbClr val="000000"/>
              </a:solidFill>
              <a:latin typeface="Calibri"/>
              <a:cs typeface="Calibri"/>
            </a:rPr>
            <a:t>Live Load Surcharge </a:t>
          </a:r>
        </a:p>
      </xdr:txBody>
    </xdr:sp>
    <xdr:clientData/>
  </xdr:twoCellAnchor>
  <xdr:twoCellAnchor>
    <xdr:from>
      <xdr:col>1</xdr:col>
      <xdr:colOff>85725</xdr:colOff>
      <xdr:row>266</xdr:row>
      <xdr:rowOff>95250</xdr:rowOff>
    </xdr:from>
    <xdr:to>
      <xdr:col>3</xdr:col>
      <xdr:colOff>19050</xdr:colOff>
      <xdr:row>273</xdr:row>
      <xdr:rowOff>19050</xdr:rowOff>
    </xdr:to>
    <xdr:grpSp>
      <xdr:nvGrpSpPr>
        <xdr:cNvPr id="3230" name="Group 1016">
          <a:extLst>
            <a:ext uri="{FF2B5EF4-FFF2-40B4-BE49-F238E27FC236}">
              <a16:creationId xmlns:a16="http://schemas.microsoft.com/office/drawing/2014/main" id="{00000000-0008-0000-0000-00009E0C0000}"/>
            </a:ext>
          </a:extLst>
        </xdr:cNvPr>
        <xdr:cNvGrpSpPr>
          <a:grpSpLocks/>
        </xdr:cNvGrpSpPr>
      </xdr:nvGrpSpPr>
      <xdr:grpSpPr bwMode="auto">
        <a:xfrm>
          <a:off x="695325" y="53187600"/>
          <a:ext cx="1171575" cy="1314450"/>
          <a:chOff x="438150" y="38657329"/>
          <a:chExt cx="1171575" cy="1319096"/>
        </a:xfrm>
      </xdr:grpSpPr>
      <xdr:sp macro="" textlink="">
        <xdr:nvSpPr>
          <xdr:cNvPr id="1018" name="Text Box 563">
            <a:extLst>
              <a:ext uri="{FF2B5EF4-FFF2-40B4-BE49-F238E27FC236}">
                <a16:creationId xmlns:a16="http://schemas.microsoft.com/office/drawing/2014/main" id="{00000000-0008-0000-0000-0000FA030000}"/>
              </a:ext>
            </a:extLst>
          </xdr:cNvPr>
          <xdr:cNvSpPr txBox="1">
            <a:spLocks noChangeArrowheads="1"/>
          </xdr:cNvSpPr>
        </xdr:nvSpPr>
        <xdr:spPr bwMode="auto">
          <a:xfrm>
            <a:off x="495300" y="38657329"/>
            <a:ext cx="276225" cy="315436"/>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a:t>
            </a:r>
            <a:r>
              <a:rPr lang="en-US" sz="1100" b="0" i="0" strike="noStrike">
                <a:solidFill>
                  <a:srgbClr val="000000"/>
                </a:solidFill>
                <a:latin typeface="Calibri"/>
                <a:cs typeface="Calibri"/>
              </a:rPr>
              <a:t>V</a:t>
            </a:r>
          </a:p>
        </xdr:txBody>
      </xdr:sp>
      <xdr:grpSp>
        <xdr:nvGrpSpPr>
          <xdr:cNvPr id="3651" name="Group 564">
            <a:extLst>
              <a:ext uri="{FF2B5EF4-FFF2-40B4-BE49-F238E27FC236}">
                <a16:creationId xmlns:a16="http://schemas.microsoft.com/office/drawing/2014/main" id="{00000000-0008-0000-0000-0000430E0000}"/>
              </a:ext>
            </a:extLst>
          </xdr:cNvPr>
          <xdr:cNvGrpSpPr>
            <a:grpSpLocks/>
          </xdr:cNvGrpSpPr>
        </xdr:nvGrpSpPr>
        <xdr:grpSpPr bwMode="auto">
          <a:xfrm>
            <a:off x="438153" y="38917546"/>
            <a:ext cx="342901" cy="1010431"/>
            <a:chOff x="460" y="682"/>
            <a:chExt cx="167" cy="59"/>
          </a:xfrm>
        </xdr:grpSpPr>
        <xdr:sp macro="" textlink="">
          <xdr:nvSpPr>
            <xdr:cNvPr id="1059" name="Text Box 565">
              <a:extLst>
                <a:ext uri="{FF2B5EF4-FFF2-40B4-BE49-F238E27FC236}">
                  <a16:creationId xmlns:a16="http://schemas.microsoft.com/office/drawing/2014/main" id="{00000000-0008-0000-0000-000023040000}"/>
                </a:ext>
              </a:extLst>
            </xdr:cNvPr>
            <xdr:cNvSpPr txBox="1">
              <a:spLocks noChangeArrowheads="1"/>
            </xdr:cNvSpPr>
          </xdr:nvSpPr>
          <xdr:spPr bwMode="auto">
            <a:xfrm>
              <a:off x="460" y="721"/>
              <a:ext cx="83"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69" name="Line 566">
              <a:extLst>
                <a:ext uri="{FF2B5EF4-FFF2-40B4-BE49-F238E27FC236}">
                  <a16:creationId xmlns:a16="http://schemas.microsoft.com/office/drawing/2014/main" id="{00000000-0008-0000-0000-0000550E0000}"/>
                </a:ext>
              </a:extLst>
            </xdr:cNvPr>
            <xdr:cNvSpPr>
              <a:spLocks noChangeShapeType="1"/>
            </xdr:cNvSpPr>
          </xdr:nvSpPr>
          <xdr:spPr bwMode="auto">
            <a:xfrm>
              <a:off x="496" y="682"/>
              <a:ext cx="131" cy="0"/>
            </a:xfrm>
            <a:prstGeom prst="line">
              <a:avLst/>
            </a:prstGeom>
            <a:noFill/>
            <a:ln w="9525">
              <a:solidFill>
                <a:srgbClr val="000000"/>
              </a:solidFill>
              <a:round/>
              <a:headEnd/>
              <a:tailEnd/>
            </a:ln>
          </xdr:spPr>
        </xdr:sp>
      </xdr:grpSp>
      <xdr:sp macro="" textlink="">
        <xdr:nvSpPr>
          <xdr:cNvPr id="1020" name="Text Box 567">
            <a:extLst>
              <a:ext uri="{FF2B5EF4-FFF2-40B4-BE49-F238E27FC236}">
                <a16:creationId xmlns:a16="http://schemas.microsoft.com/office/drawing/2014/main" id="{00000000-0008-0000-0000-0000FC030000}"/>
              </a:ext>
            </a:extLst>
          </xdr:cNvPr>
          <xdr:cNvSpPr txBox="1">
            <a:spLocks noChangeArrowheads="1"/>
          </xdr:cNvSpPr>
        </xdr:nvSpPr>
        <xdr:spPr bwMode="auto">
          <a:xfrm>
            <a:off x="561975" y="38905854"/>
            <a:ext cx="238125" cy="238967"/>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sp macro="" textlink="">
        <xdr:nvSpPr>
          <xdr:cNvPr id="1024" name="Text Box 568">
            <a:extLst>
              <a:ext uri="{FF2B5EF4-FFF2-40B4-BE49-F238E27FC236}">
                <a16:creationId xmlns:a16="http://schemas.microsoft.com/office/drawing/2014/main" id="{00000000-0008-0000-0000-000000040000}"/>
              </a:ext>
            </a:extLst>
          </xdr:cNvPr>
          <xdr:cNvSpPr txBox="1">
            <a:spLocks noChangeArrowheads="1"/>
          </xdr:cNvSpPr>
        </xdr:nvSpPr>
        <xdr:spPr bwMode="auto">
          <a:xfrm>
            <a:off x="800100" y="38695564"/>
            <a:ext cx="685800" cy="28676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( 1 + 6 e ) </a:t>
            </a:r>
          </a:p>
        </xdr:txBody>
      </xdr:sp>
      <xdr:sp macro="" textlink="">
        <xdr:nvSpPr>
          <xdr:cNvPr id="1025" name="Text Box 569">
            <a:extLst>
              <a:ext uri="{FF2B5EF4-FFF2-40B4-BE49-F238E27FC236}">
                <a16:creationId xmlns:a16="http://schemas.microsoft.com/office/drawing/2014/main" id="{00000000-0008-0000-0000-000001040000}"/>
              </a:ext>
            </a:extLst>
          </xdr:cNvPr>
          <xdr:cNvSpPr txBox="1">
            <a:spLocks noChangeArrowheads="1"/>
          </xdr:cNvSpPr>
        </xdr:nvSpPr>
        <xdr:spPr bwMode="auto">
          <a:xfrm>
            <a:off x="1123950" y="38877178"/>
            <a:ext cx="238125" cy="238967"/>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sp macro="" textlink="">
        <xdr:nvSpPr>
          <xdr:cNvPr id="1026" name="Text Box 571">
            <a:extLst>
              <a:ext uri="{FF2B5EF4-FFF2-40B4-BE49-F238E27FC236}">
                <a16:creationId xmlns:a16="http://schemas.microsoft.com/office/drawing/2014/main" id="{00000000-0008-0000-0000-000002040000}"/>
              </a:ext>
            </a:extLst>
          </xdr:cNvPr>
          <xdr:cNvSpPr txBox="1">
            <a:spLocks noChangeArrowheads="1"/>
          </xdr:cNvSpPr>
        </xdr:nvSpPr>
        <xdr:spPr bwMode="auto">
          <a:xfrm>
            <a:off x="1009650" y="38724240"/>
            <a:ext cx="114300" cy="32499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56" name="Line 572">
            <a:extLst>
              <a:ext uri="{FF2B5EF4-FFF2-40B4-BE49-F238E27FC236}">
                <a16:creationId xmlns:a16="http://schemas.microsoft.com/office/drawing/2014/main" id="{00000000-0008-0000-0000-0000480E0000}"/>
              </a:ext>
            </a:extLst>
          </xdr:cNvPr>
          <xdr:cNvSpPr>
            <a:spLocks noChangeShapeType="1"/>
          </xdr:cNvSpPr>
        </xdr:nvSpPr>
        <xdr:spPr bwMode="auto">
          <a:xfrm>
            <a:off x="1070534" y="38886043"/>
            <a:ext cx="177241" cy="0"/>
          </a:xfrm>
          <a:prstGeom prst="line">
            <a:avLst/>
          </a:prstGeom>
          <a:noFill/>
          <a:ln w="9525">
            <a:solidFill>
              <a:srgbClr val="000000"/>
            </a:solidFill>
            <a:round/>
            <a:headEnd/>
            <a:tailEnd/>
          </a:ln>
        </xdr:spPr>
      </xdr:sp>
      <xdr:grpSp>
        <xdr:nvGrpSpPr>
          <xdr:cNvPr id="3657" name="Group 576">
            <a:extLst>
              <a:ext uri="{FF2B5EF4-FFF2-40B4-BE49-F238E27FC236}">
                <a16:creationId xmlns:a16="http://schemas.microsoft.com/office/drawing/2014/main" id="{00000000-0008-0000-0000-0000490E0000}"/>
              </a:ext>
            </a:extLst>
          </xdr:cNvPr>
          <xdr:cNvGrpSpPr>
            <a:grpSpLocks/>
          </xdr:cNvGrpSpPr>
        </xdr:nvGrpSpPr>
        <xdr:grpSpPr bwMode="auto">
          <a:xfrm>
            <a:off x="447675" y="39481127"/>
            <a:ext cx="371475" cy="495300"/>
            <a:chOff x="196" y="3643"/>
            <a:chExt cx="39" cy="41"/>
          </a:xfrm>
        </xdr:grpSpPr>
        <xdr:sp macro="" textlink="">
          <xdr:nvSpPr>
            <xdr:cNvPr id="1034" name="Text Box 577">
              <a:extLst>
                <a:ext uri="{FF2B5EF4-FFF2-40B4-BE49-F238E27FC236}">
                  <a16:creationId xmlns:a16="http://schemas.microsoft.com/office/drawing/2014/main" id="{00000000-0008-0000-0000-00000A040000}"/>
                </a:ext>
              </a:extLst>
            </xdr:cNvPr>
            <xdr:cNvSpPr txBox="1">
              <a:spLocks noChangeArrowheads="1"/>
            </xdr:cNvSpPr>
          </xdr:nvSpPr>
          <xdr:spPr bwMode="auto">
            <a:xfrm>
              <a:off x="202" y="3643"/>
              <a:ext cx="29" cy="2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a:t>
              </a:r>
              <a:r>
                <a:rPr lang="en-US" sz="1100" b="0" i="0" strike="noStrike">
                  <a:solidFill>
                    <a:srgbClr val="000000"/>
                  </a:solidFill>
                  <a:latin typeface="Calibri"/>
                  <a:cs typeface="Calibri"/>
                </a:rPr>
                <a:t>V</a:t>
              </a:r>
            </a:p>
          </xdr:txBody>
        </xdr:sp>
        <xdr:grpSp>
          <xdr:nvGrpSpPr>
            <xdr:cNvPr id="3664" name="Group 578">
              <a:extLst>
                <a:ext uri="{FF2B5EF4-FFF2-40B4-BE49-F238E27FC236}">
                  <a16:creationId xmlns:a16="http://schemas.microsoft.com/office/drawing/2014/main" id="{00000000-0008-0000-0000-0000500E0000}"/>
                </a:ext>
              </a:extLst>
            </xdr:cNvPr>
            <xdr:cNvGrpSpPr>
              <a:grpSpLocks/>
            </xdr:cNvGrpSpPr>
          </xdr:nvGrpSpPr>
          <xdr:grpSpPr bwMode="auto">
            <a:xfrm>
              <a:off x="196" y="3649"/>
              <a:ext cx="38" cy="29"/>
              <a:chOff x="460" y="721"/>
              <a:chExt cx="176" cy="20"/>
            </a:xfrm>
          </xdr:grpSpPr>
          <xdr:sp macro="" textlink="">
            <xdr:nvSpPr>
              <xdr:cNvPr id="1037" name="Text Box 579">
                <a:extLst>
                  <a:ext uri="{FF2B5EF4-FFF2-40B4-BE49-F238E27FC236}">
                    <a16:creationId xmlns:a16="http://schemas.microsoft.com/office/drawing/2014/main" id="{00000000-0008-0000-0000-00000D040000}"/>
                  </a:ext>
                </a:extLst>
              </xdr:cNvPr>
              <xdr:cNvSpPr txBox="1">
                <a:spLocks noChangeArrowheads="1"/>
              </xdr:cNvSpPr>
            </xdr:nvSpPr>
            <xdr:spPr bwMode="auto">
              <a:xfrm>
                <a:off x="460" y="721"/>
                <a:ext cx="83"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67" name="Line 580">
                <a:extLst>
                  <a:ext uri="{FF2B5EF4-FFF2-40B4-BE49-F238E27FC236}">
                    <a16:creationId xmlns:a16="http://schemas.microsoft.com/office/drawing/2014/main" id="{00000000-0008-0000-0000-0000530E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sp macro="" textlink="">
          <xdr:nvSpPr>
            <xdr:cNvPr id="1036" name="Text Box 581">
              <a:extLst>
                <a:ext uri="{FF2B5EF4-FFF2-40B4-BE49-F238E27FC236}">
                  <a16:creationId xmlns:a16="http://schemas.microsoft.com/office/drawing/2014/main" id="{00000000-0008-0000-0000-00000C040000}"/>
                </a:ext>
              </a:extLst>
            </xdr:cNvPr>
            <xdr:cNvSpPr txBox="1">
              <a:spLocks noChangeArrowheads="1"/>
            </xdr:cNvSpPr>
          </xdr:nvSpPr>
          <xdr:spPr bwMode="auto">
            <a:xfrm>
              <a:off x="210" y="3664"/>
              <a:ext cx="25"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grpSp>
      <xdr:sp macro="" textlink="">
        <xdr:nvSpPr>
          <xdr:cNvPr id="1029" name="Text Box 582">
            <a:extLst>
              <a:ext uri="{FF2B5EF4-FFF2-40B4-BE49-F238E27FC236}">
                <a16:creationId xmlns:a16="http://schemas.microsoft.com/office/drawing/2014/main" id="{00000000-0008-0000-0000-000005040000}"/>
              </a:ext>
            </a:extLst>
          </xdr:cNvPr>
          <xdr:cNvSpPr txBox="1">
            <a:spLocks noChangeArrowheads="1"/>
          </xdr:cNvSpPr>
        </xdr:nvSpPr>
        <xdr:spPr bwMode="auto">
          <a:xfrm>
            <a:off x="809625" y="39527168"/>
            <a:ext cx="800100" cy="305877"/>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( 1 - 6 e )</a:t>
            </a:r>
          </a:p>
        </xdr:txBody>
      </xdr:sp>
      <xdr:sp macro="" textlink="">
        <xdr:nvSpPr>
          <xdr:cNvPr id="1030" name="Text Box 583">
            <a:extLst>
              <a:ext uri="{FF2B5EF4-FFF2-40B4-BE49-F238E27FC236}">
                <a16:creationId xmlns:a16="http://schemas.microsoft.com/office/drawing/2014/main" id="{00000000-0008-0000-0000-000006040000}"/>
              </a:ext>
            </a:extLst>
          </xdr:cNvPr>
          <xdr:cNvSpPr txBox="1">
            <a:spLocks noChangeArrowheads="1"/>
          </xdr:cNvSpPr>
        </xdr:nvSpPr>
        <xdr:spPr bwMode="auto">
          <a:xfrm>
            <a:off x="1114425" y="39718341"/>
            <a:ext cx="238125" cy="24852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B</a:t>
            </a:r>
          </a:p>
        </xdr:txBody>
      </xdr:sp>
      <xdr:grpSp>
        <xdr:nvGrpSpPr>
          <xdr:cNvPr id="3660" name="Group 584">
            <a:extLst>
              <a:ext uri="{FF2B5EF4-FFF2-40B4-BE49-F238E27FC236}">
                <a16:creationId xmlns:a16="http://schemas.microsoft.com/office/drawing/2014/main" id="{00000000-0008-0000-0000-00004C0E0000}"/>
              </a:ext>
            </a:extLst>
          </xdr:cNvPr>
          <xdr:cNvGrpSpPr>
            <a:grpSpLocks/>
          </xdr:cNvGrpSpPr>
        </xdr:nvGrpSpPr>
        <xdr:grpSpPr bwMode="auto">
          <a:xfrm>
            <a:off x="1019177" y="39554503"/>
            <a:ext cx="238126" cy="348544"/>
            <a:chOff x="460" y="721"/>
            <a:chExt cx="176" cy="20"/>
          </a:xfrm>
        </xdr:grpSpPr>
        <xdr:sp macro="" textlink="">
          <xdr:nvSpPr>
            <xdr:cNvPr id="1032" name="Text Box 585">
              <a:extLst>
                <a:ext uri="{FF2B5EF4-FFF2-40B4-BE49-F238E27FC236}">
                  <a16:creationId xmlns:a16="http://schemas.microsoft.com/office/drawing/2014/main" id="{00000000-0008-0000-0000-000008040000}"/>
                </a:ext>
              </a:extLst>
            </xdr:cNvPr>
            <xdr:cNvSpPr txBox="1">
              <a:spLocks noChangeArrowheads="1"/>
            </xdr:cNvSpPr>
          </xdr:nvSpPr>
          <xdr:spPr bwMode="auto">
            <a:xfrm>
              <a:off x="460" y="721"/>
              <a:ext cx="84"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3662" name="Line 586">
              <a:extLst>
                <a:ext uri="{FF2B5EF4-FFF2-40B4-BE49-F238E27FC236}">
                  <a16:creationId xmlns:a16="http://schemas.microsoft.com/office/drawing/2014/main" id="{00000000-0008-0000-0000-00004E0E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grpSp>
    <xdr:clientData/>
  </xdr:twoCellAnchor>
  <xdr:twoCellAnchor>
    <xdr:from>
      <xdr:col>0</xdr:col>
      <xdr:colOff>0</xdr:colOff>
      <xdr:row>297</xdr:row>
      <xdr:rowOff>76200</xdr:rowOff>
    </xdr:from>
    <xdr:to>
      <xdr:col>4</xdr:col>
      <xdr:colOff>428625</xdr:colOff>
      <xdr:row>300</xdr:row>
      <xdr:rowOff>190500</xdr:rowOff>
    </xdr:to>
    <xdr:grpSp>
      <xdr:nvGrpSpPr>
        <xdr:cNvPr id="3231" name="Group 857">
          <a:extLst>
            <a:ext uri="{FF2B5EF4-FFF2-40B4-BE49-F238E27FC236}">
              <a16:creationId xmlns:a16="http://schemas.microsoft.com/office/drawing/2014/main" id="{00000000-0008-0000-0000-00009F0C0000}"/>
            </a:ext>
          </a:extLst>
        </xdr:cNvPr>
        <xdr:cNvGrpSpPr>
          <a:grpSpLocks/>
        </xdr:cNvGrpSpPr>
      </xdr:nvGrpSpPr>
      <xdr:grpSpPr bwMode="auto">
        <a:xfrm>
          <a:off x="0" y="59302650"/>
          <a:ext cx="2943225" cy="685800"/>
          <a:chOff x="436" y="564"/>
          <a:chExt cx="318" cy="75"/>
        </a:xfrm>
      </xdr:grpSpPr>
      <xdr:grpSp>
        <xdr:nvGrpSpPr>
          <xdr:cNvPr id="3642" name="Group 858">
            <a:extLst>
              <a:ext uri="{FF2B5EF4-FFF2-40B4-BE49-F238E27FC236}">
                <a16:creationId xmlns:a16="http://schemas.microsoft.com/office/drawing/2014/main" id="{00000000-0008-0000-0000-00003A0E0000}"/>
              </a:ext>
            </a:extLst>
          </xdr:cNvPr>
          <xdr:cNvGrpSpPr>
            <a:grpSpLocks/>
          </xdr:cNvGrpSpPr>
        </xdr:nvGrpSpPr>
        <xdr:grpSpPr bwMode="auto">
          <a:xfrm>
            <a:off x="436" y="564"/>
            <a:ext cx="318" cy="75"/>
            <a:chOff x="436" y="564"/>
            <a:chExt cx="318" cy="75"/>
          </a:xfrm>
        </xdr:grpSpPr>
        <xdr:grpSp>
          <xdr:nvGrpSpPr>
            <xdr:cNvPr id="3644" name="Group 859">
              <a:extLst>
                <a:ext uri="{FF2B5EF4-FFF2-40B4-BE49-F238E27FC236}">
                  <a16:creationId xmlns:a16="http://schemas.microsoft.com/office/drawing/2014/main" id="{00000000-0008-0000-0000-00003C0E0000}"/>
                </a:ext>
              </a:extLst>
            </xdr:cNvPr>
            <xdr:cNvGrpSpPr>
              <a:grpSpLocks/>
            </xdr:cNvGrpSpPr>
          </xdr:nvGrpSpPr>
          <xdr:grpSpPr bwMode="auto">
            <a:xfrm>
              <a:off x="436" y="564"/>
              <a:ext cx="318" cy="75"/>
              <a:chOff x="435" y="564"/>
              <a:chExt cx="291" cy="75"/>
            </a:xfrm>
          </xdr:grpSpPr>
          <xdr:grpSp>
            <xdr:nvGrpSpPr>
              <xdr:cNvPr id="3646" name="Group 860">
                <a:extLst>
                  <a:ext uri="{FF2B5EF4-FFF2-40B4-BE49-F238E27FC236}">
                    <a16:creationId xmlns:a16="http://schemas.microsoft.com/office/drawing/2014/main" id="{00000000-0008-0000-0000-00003E0E0000}"/>
                  </a:ext>
                </a:extLst>
              </xdr:cNvPr>
              <xdr:cNvGrpSpPr>
                <a:grpSpLocks/>
              </xdr:cNvGrpSpPr>
            </xdr:nvGrpSpPr>
            <xdr:grpSpPr bwMode="auto">
              <a:xfrm>
                <a:off x="447" y="564"/>
                <a:ext cx="258" cy="29"/>
                <a:chOff x="447" y="564"/>
                <a:chExt cx="258" cy="29"/>
              </a:xfrm>
            </xdr:grpSpPr>
            <xdr:sp macro="" textlink="">
              <xdr:nvSpPr>
                <xdr:cNvPr id="3648" name="Line 861">
                  <a:extLst>
                    <a:ext uri="{FF2B5EF4-FFF2-40B4-BE49-F238E27FC236}">
                      <a16:creationId xmlns:a16="http://schemas.microsoft.com/office/drawing/2014/main" id="{00000000-0008-0000-0000-0000400E0000}"/>
                    </a:ext>
                  </a:extLst>
                </xdr:cNvPr>
                <xdr:cNvSpPr>
                  <a:spLocks noChangeShapeType="1"/>
                </xdr:cNvSpPr>
              </xdr:nvSpPr>
              <xdr:spPr bwMode="auto">
                <a:xfrm>
                  <a:off x="447" y="585"/>
                  <a:ext cx="258" cy="0"/>
                </a:xfrm>
                <a:prstGeom prst="line">
                  <a:avLst/>
                </a:prstGeom>
                <a:noFill/>
                <a:ln w="9525">
                  <a:solidFill>
                    <a:srgbClr val="000000"/>
                  </a:solidFill>
                  <a:round/>
                  <a:headEnd/>
                  <a:tailEnd/>
                </a:ln>
              </xdr:spPr>
            </xdr:sp>
            <xdr:sp macro="" textlink="">
              <xdr:nvSpPr>
                <xdr:cNvPr id="1261" name="Text Box 862">
                  <a:extLst>
                    <a:ext uri="{FF2B5EF4-FFF2-40B4-BE49-F238E27FC236}">
                      <a16:creationId xmlns:a16="http://schemas.microsoft.com/office/drawing/2014/main" id="{00000000-0008-0000-0000-0000ED040000}"/>
                    </a:ext>
                  </a:extLst>
                </xdr:cNvPr>
                <xdr:cNvSpPr txBox="1">
                  <a:spLocks noChangeArrowheads="1"/>
                </xdr:cNvSpPr>
              </xdr:nvSpPr>
              <xdr:spPr bwMode="auto">
                <a:xfrm>
                  <a:off x="511" y="564"/>
                  <a:ext cx="145"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sin</a:t>
                  </a:r>
                  <a:r>
                    <a:rPr lang="en-US" sz="1000" b="0" i="0" strike="noStrike" baseline="30000">
                      <a:solidFill>
                        <a:srgbClr val="000000"/>
                      </a:solidFill>
                      <a:latin typeface="Arial"/>
                      <a:cs typeface="Arial"/>
                    </a:rPr>
                    <a:t>2</a:t>
                  </a:r>
                  <a:r>
                    <a:rPr lang="en-US" sz="1000" b="0" i="0" strike="noStrike">
                      <a:solidFill>
                        <a:srgbClr val="000000"/>
                      </a:solidFill>
                      <a:latin typeface="Arial"/>
                      <a:cs typeface="Arial"/>
                    </a:rPr>
                    <a:t> ( </a:t>
                  </a:r>
                  <a:r>
                    <a:rPr lang="en-US" sz="1000" b="0" i="0" strike="noStrike">
                      <a:solidFill>
                        <a:srgbClr val="000000"/>
                      </a:solidFill>
                      <a:latin typeface="Symbol"/>
                    </a:rPr>
                    <a:t>a</a:t>
                  </a:r>
                  <a:r>
                    <a:rPr lang="en-US" sz="1000" b="0" i="0" strike="noStrike">
                      <a:solidFill>
                        <a:srgbClr val="000000"/>
                      </a:solidFill>
                      <a:latin typeface="Arial"/>
                      <a:cs typeface="Arial"/>
                    </a:rPr>
                    <a:t> + </a:t>
                  </a:r>
                  <a:r>
                    <a:rPr lang="en-US" sz="1000" b="0" i="0" strike="noStrike">
                      <a:solidFill>
                        <a:srgbClr val="000000"/>
                      </a:solidFill>
                      <a:latin typeface="Symbol"/>
                    </a:rPr>
                    <a:t>f</a:t>
                  </a:r>
                  <a:r>
                    <a:rPr lang="en-US" sz="1000" b="0" i="0" strike="noStrike">
                      <a:solidFill>
                        <a:srgbClr val="000000"/>
                      </a:solidFill>
                      <a:latin typeface="Arial"/>
                      <a:cs typeface="Arial"/>
                    </a:rPr>
                    <a:t> ) </a:t>
                  </a:r>
                  <a:r>
                    <a:rPr lang="en-US" sz="1000" b="0" i="0" strike="noStrike">
                      <a:solidFill>
                        <a:sysClr val="windowText" lastClr="000000"/>
                      </a:solidFill>
                      <a:latin typeface="Arial"/>
                      <a:cs typeface="Arial"/>
                    </a:rPr>
                    <a:t>cos </a:t>
                  </a:r>
                  <a:r>
                    <a:rPr lang="en-US" sz="1000" b="0" i="0" strike="noStrike">
                      <a:solidFill>
                        <a:sysClr val="windowText" lastClr="000000"/>
                      </a:solidFill>
                      <a:latin typeface="Symbol"/>
                    </a:rPr>
                    <a:t>d</a:t>
                  </a:r>
                </a:p>
              </xdr:txBody>
            </xdr:sp>
          </xdr:grpSp>
          <xdr:sp macro="" textlink="">
            <xdr:nvSpPr>
              <xdr:cNvPr id="1259" name="Text Box 863">
                <a:extLst>
                  <a:ext uri="{FF2B5EF4-FFF2-40B4-BE49-F238E27FC236}">
                    <a16:creationId xmlns:a16="http://schemas.microsoft.com/office/drawing/2014/main" id="{00000000-0008-0000-0000-0000EB040000}"/>
                  </a:ext>
                </a:extLst>
              </xdr:cNvPr>
              <xdr:cNvSpPr txBox="1">
                <a:spLocks noChangeArrowheads="1"/>
              </xdr:cNvSpPr>
            </xdr:nvSpPr>
            <xdr:spPr bwMode="auto">
              <a:xfrm>
                <a:off x="435" y="586"/>
                <a:ext cx="291" cy="53"/>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sin </a:t>
                </a:r>
                <a:r>
                  <a:rPr lang="en-US" sz="1000" b="0" i="0" strike="noStrike">
                    <a:solidFill>
                      <a:srgbClr val="000000"/>
                    </a:solidFill>
                    <a:latin typeface="Symbol"/>
                  </a:rPr>
                  <a:t>a</a:t>
                </a:r>
                <a:r>
                  <a:rPr lang="en-US" sz="1000" b="0" i="0" strike="noStrike">
                    <a:solidFill>
                      <a:srgbClr val="000000"/>
                    </a:solidFill>
                    <a:latin typeface="Arial"/>
                    <a:cs typeface="Arial"/>
                  </a:rPr>
                  <a:t> sin ( </a:t>
                </a:r>
                <a:r>
                  <a:rPr lang="en-US" sz="1000" b="0" i="0" strike="noStrike">
                    <a:solidFill>
                      <a:srgbClr val="000000"/>
                    </a:solidFill>
                    <a:latin typeface="Symbol"/>
                  </a:rPr>
                  <a:t>a</a:t>
                </a:r>
                <a:r>
                  <a:rPr lang="en-US" sz="1000" b="0" i="0" strike="noStrike">
                    <a:solidFill>
                      <a:srgbClr val="000000"/>
                    </a:solidFill>
                    <a:latin typeface="Arial"/>
                    <a:cs typeface="Arial"/>
                  </a:rPr>
                  <a:t> - </a:t>
                </a:r>
                <a:r>
                  <a:rPr lang="en-US" sz="1000" b="0" i="0" strike="noStrike">
                    <a:solidFill>
                      <a:srgbClr val="000000"/>
                    </a:solidFill>
                    <a:latin typeface="Symbol"/>
                  </a:rPr>
                  <a:t>d</a:t>
                </a:r>
                <a:r>
                  <a:rPr lang="en-US" sz="1000" b="0" i="0" strike="noStrike">
                    <a:solidFill>
                      <a:srgbClr val="000000"/>
                    </a:solidFill>
                    <a:latin typeface="Arial"/>
                    <a:cs typeface="Arial"/>
                  </a:rPr>
                  <a:t> ) [ 1 + √ sin ( </a:t>
                </a:r>
                <a:r>
                  <a:rPr lang="en-US" sz="1000" b="0" i="0" strike="noStrike">
                    <a:solidFill>
                      <a:srgbClr val="000000"/>
                    </a:solidFill>
                    <a:latin typeface="Symbol"/>
                  </a:rPr>
                  <a:t>f</a:t>
                </a:r>
                <a:r>
                  <a:rPr lang="en-US" sz="1000" b="0" i="0" strike="noStrike">
                    <a:solidFill>
                      <a:srgbClr val="000000"/>
                    </a:solidFill>
                    <a:latin typeface="Arial"/>
                    <a:cs typeface="Arial"/>
                  </a:rPr>
                  <a:t> + </a:t>
                </a:r>
                <a:r>
                  <a:rPr lang="en-US" sz="1000" b="0" i="0" strike="noStrike">
                    <a:solidFill>
                      <a:srgbClr val="000000"/>
                    </a:solidFill>
                    <a:latin typeface="Symbol"/>
                  </a:rPr>
                  <a:t>d</a:t>
                </a:r>
                <a:r>
                  <a:rPr lang="en-US" sz="1000" b="0" i="0" strike="noStrike">
                    <a:solidFill>
                      <a:srgbClr val="000000"/>
                    </a:solidFill>
                    <a:latin typeface="Arial"/>
                    <a:cs typeface="Arial"/>
                  </a:rPr>
                  <a:t> ) sin ( </a:t>
                </a:r>
                <a:r>
                  <a:rPr lang="en-US" sz="1000" b="0" i="0" strike="noStrike">
                    <a:solidFill>
                      <a:srgbClr val="000000"/>
                    </a:solidFill>
                    <a:latin typeface="Symbol"/>
                  </a:rPr>
                  <a:t>f</a:t>
                </a:r>
                <a:r>
                  <a:rPr lang="en-US" sz="1000" b="0" i="0" strike="noStrike">
                    <a:solidFill>
                      <a:srgbClr val="000000"/>
                    </a:solidFill>
                    <a:latin typeface="Arial"/>
                    <a:cs typeface="Arial"/>
                  </a:rPr>
                  <a:t> - </a:t>
                </a:r>
                <a:r>
                  <a:rPr lang="en-US" sz="1000" b="0" i="0" strike="noStrike">
                    <a:solidFill>
                      <a:srgbClr val="000000"/>
                    </a:solidFill>
                    <a:latin typeface="Symbol"/>
                  </a:rPr>
                  <a:t>b</a:t>
                </a:r>
                <a:r>
                  <a:rPr lang="en-US" sz="1000" b="0" i="0" strike="noStrike">
                    <a:solidFill>
                      <a:srgbClr val="000000"/>
                    </a:solidFill>
                    <a:latin typeface="Arial"/>
                    <a:cs typeface="Arial"/>
                  </a:rPr>
                  <a:t> ) ]</a:t>
                </a:r>
                <a:r>
                  <a:rPr lang="en-US" sz="1000" b="0" i="0" strike="noStrike" baseline="30000">
                    <a:solidFill>
                      <a:srgbClr val="000000"/>
                    </a:solidFill>
                    <a:latin typeface="Arial"/>
                    <a:cs typeface="Arial"/>
                  </a:rPr>
                  <a:t>2</a:t>
                </a:r>
              </a:p>
            </xdr:txBody>
          </xdr:sp>
        </xdr:grpSp>
        <xdr:sp macro="" textlink="">
          <xdr:nvSpPr>
            <xdr:cNvPr id="3645" name="Line 864">
              <a:extLst>
                <a:ext uri="{FF2B5EF4-FFF2-40B4-BE49-F238E27FC236}">
                  <a16:creationId xmlns:a16="http://schemas.microsoft.com/office/drawing/2014/main" id="{00000000-0008-0000-0000-00003D0E0000}"/>
                </a:ext>
              </a:extLst>
            </xdr:cNvPr>
            <xdr:cNvSpPr>
              <a:spLocks noChangeShapeType="1"/>
            </xdr:cNvSpPr>
          </xdr:nvSpPr>
          <xdr:spPr bwMode="auto">
            <a:xfrm>
              <a:off x="584" y="607"/>
              <a:ext cx="133" cy="0"/>
            </a:xfrm>
            <a:prstGeom prst="line">
              <a:avLst/>
            </a:prstGeom>
            <a:noFill/>
            <a:ln w="9525">
              <a:solidFill>
                <a:srgbClr val="000000"/>
              </a:solidFill>
              <a:round/>
              <a:headEnd/>
              <a:tailEnd/>
            </a:ln>
          </xdr:spPr>
        </xdr:sp>
      </xdr:grpSp>
      <xdr:sp macro="" textlink="">
        <xdr:nvSpPr>
          <xdr:cNvPr id="1244" name="Text Box 865">
            <a:extLst>
              <a:ext uri="{FF2B5EF4-FFF2-40B4-BE49-F238E27FC236}">
                <a16:creationId xmlns:a16="http://schemas.microsoft.com/office/drawing/2014/main" id="{00000000-0008-0000-0000-0000DC040000}"/>
              </a:ext>
            </a:extLst>
          </xdr:cNvPr>
          <xdr:cNvSpPr txBox="1">
            <a:spLocks noChangeArrowheads="1"/>
          </xdr:cNvSpPr>
        </xdr:nvSpPr>
        <xdr:spPr bwMode="auto">
          <a:xfrm>
            <a:off x="571" y="606"/>
            <a:ext cx="170" cy="2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sin ( </a:t>
            </a:r>
            <a:r>
              <a:rPr lang="en-US" sz="1000" b="0" i="0" strike="noStrike">
                <a:solidFill>
                  <a:srgbClr val="000000"/>
                </a:solidFill>
                <a:latin typeface="Symbol"/>
              </a:rPr>
              <a:t>a</a:t>
            </a:r>
            <a:r>
              <a:rPr lang="en-US" sz="1000" b="0" i="0" strike="noStrike">
                <a:solidFill>
                  <a:srgbClr val="000000"/>
                </a:solidFill>
                <a:latin typeface="Arial"/>
                <a:cs typeface="Arial"/>
              </a:rPr>
              <a:t> - </a:t>
            </a:r>
            <a:r>
              <a:rPr lang="en-US" sz="1000" b="0" i="0" strike="noStrike">
                <a:solidFill>
                  <a:srgbClr val="000000"/>
                </a:solidFill>
                <a:latin typeface="Symbol"/>
              </a:rPr>
              <a:t>d</a:t>
            </a:r>
            <a:r>
              <a:rPr lang="en-US" sz="1000" b="0" i="0" strike="noStrike">
                <a:solidFill>
                  <a:srgbClr val="000000"/>
                </a:solidFill>
                <a:latin typeface="Arial"/>
                <a:cs typeface="Arial"/>
              </a:rPr>
              <a:t> ) sin ( </a:t>
            </a:r>
            <a:r>
              <a:rPr lang="en-US" sz="1000" b="0" i="0" strike="noStrike">
                <a:solidFill>
                  <a:srgbClr val="000000"/>
                </a:solidFill>
                <a:latin typeface="Symbol"/>
              </a:rPr>
              <a:t>a</a:t>
            </a:r>
            <a:r>
              <a:rPr lang="en-US" sz="1000" b="0" i="0" strike="noStrike">
                <a:solidFill>
                  <a:srgbClr val="000000"/>
                </a:solidFill>
                <a:latin typeface="Arial"/>
                <a:cs typeface="Arial"/>
              </a:rPr>
              <a:t> + </a:t>
            </a:r>
            <a:r>
              <a:rPr lang="en-US" sz="1000" b="0" i="0" strike="noStrike">
                <a:solidFill>
                  <a:srgbClr val="000000"/>
                </a:solidFill>
                <a:latin typeface="Symbol"/>
              </a:rPr>
              <a:t>b</a:t>
            </a:r>
            <a:r>
              <a:rPr lang="en-US" sz="1000" b="0" i="0" strike="noStrike">
                <a:solidFill>
                  <a:srgbClr val="000000"/>
                </a:solidFill>
                <a:latin typeface="Arial"/>
                <a:cs typeface="Arial"/>
              </a:rPr>
              <a:t> )</a:t>
            </a:r>
          </a:p>
        </xdr:txBody>
      </xdr:sp>
    </xdr:grpSp>
    <xdr:clientData/>
  </xdr:twoCellAnchor>
  <xdr:twoCellAnchor>
    <xdr:from>
      <xdr:col>5</xdr:col>
      <xdr:colOff>9525</xdr:colOff>
      <xdr:row>294</xdr:row>
      <xdr:rowOff>190500</xdr:rowOff>
    </xdr:from>
    <xdr:to>
      <xdr:col>8</xdr:col>
      <xdr:colOff>581025</xdr:colOff>
      <xdr:row>304</xdr:row>
      <xdr:rowOff>171450</xdr:rowOff>
    </xdr:to>
    <xdr:grpSp>
      <xdr:nvGrpSpPr>
        <xdr:cNvPr id="3232" name="Group 1447">
          <a:extLst>
            <a:ext uri="{FF2B5EF4-FFF2-40B4-BE49-F238E27FC236}">
              <a16:creationId xmlns:a16="http://schemas.microsoft.com/office/drawing/2014/main" id="{00000000-0008-0000-0000-0000A00C0000}"/>
            </a:ext>
          </a:extLst>
        </xdr:cNvPr>
        <xdr:cNvGrpSpPr>
          <a:grpSpLocks/>
        </xdr:cNvGrpSpPr>
      </xdr:nvGrpSpPr>
      <xdr:grpSpPr bwMode="auto">
        <a:xfrm>
          <a:off x="3133725" y="58845450"/>
          <a:ext cx="2400300" cy="1885950"/>
          <a:chOff x="2820642" y="49578866"/>
          <a:chExt cx="2680252" cy="2057104"/>
        </a:xfrm>
      </xdr:grpSpPr>
      <xdr:sp macro="" textlink="">
        <xdr:nvSpPr>
          <xdr:cNvPr id="3605" name="AutoShape 418">
            <a:extLst>
              <a:ext uri="{FF2B5EF4-FFF2-40B4-BE49-F238E27FC236}">
                <a16:creationId xmlns:a16="http://schemas.microsoft.com/office/drawing/2014/main" id="{00000000-0008-0000-0000-0000150E0000}"/>
              </a:ext>
            </a:extLst>
          </xdr:cNvPr>
          <xdr:cNvSpPr>
            <a:spLocks noChangeArrowheads="1"/>
          </xdr:cNvSpPr>
        </xdr:nvSpPr>
        <xdr:spPr bwMode="auto">
          <a:xfrm flipV="1">
            <a:off x="3780435" y="49708788"/>
            <a:ext cx="347751" cy="1378621"/>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408 w 21600"/>
              <a:gd name="T13" fmla="*/ 4461 h 21600"/>
              <a:gd name="T14" fmla="*/ 17192 w 21600"/>
              <a:gd name="T15" fmla="*/ 17139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noFill/>
          <a:ln w="9525" algn="ctr">
            <a:solidFill>
              <a:srgbClr val="000000"/>
            </a:solidFill>
            <a:miter lim="800000"/>
            <a:headEnd/>
            <a:tailEnd/>
          </a:ln>
        </xdr:spPr>
      </xdr:sp>
      <xdr:sp macro="" textlink="">
        <xdr:nvSpPr>
          <xdr:cNvPr id="3606" name="Line 420">
            <a:extLst>
              <a:ext uri="{FF2B5EF4-FFF2-40B4-BE49-F238E27FC236}">
                <a16:creationId xmlns:a16="http://schemas.microsoft.com/office/drawing/2014/main" id="{00000000-0008-0000-0000-0000160E0000}"/>
              </a:ext>
            </a:extLst>
          </xdr:cNvPr>
          <xdr:cNvSpPr>
            <a:spLocks noChangeShapeType="1"/>
          </xdr:cNvSpPr>
        </xdr:nvSpPr>
        <xdr:spPr bwMode="auto">
          <a:xfrm>
            <a:off x="3564829" y="49694353"/>
            <a:ext cx="0" cy="1342531"/>
          </a:xfrm>
          <a:prstGeom prst="line">
            <a:avLst/>
          </a:prstGeom>
          <a:noFill/>
          <a:ln w="9525">
            <a:solidFill>
              <a:srgbClr val="000000"/>
            </a:solidFill>
            <a:round/>
            <a:headEnd type="triangle" w="med" len="med"/>
            <a:tailEnd type="triangle" w="med" len="med"/>
          </a:ln>
        </xdr:spPr>
      </xdr:sp>
      <xdr:sp macro="" textlink="">
        <xdr:nvSpPr>
          <xdr:cNvPr id="3607" name="Line 422">
            <a:extLst>
              <a:ext uri="{FF2B5EF4-FFF2-40B4-BE49-F238E27FC236}">
                <a16:creationId xmlns:a16="http://schemas.microsoft.com/office/drawing/2014/main" id="{00000000-0008-0000-0000-0000170E0000}"/>
              </a:ext>
            </a:extLst>
          </xdr:cNvPr>
          <xdr:cNvSpPr>
            <a:spLocks noChangeShapeType="1"/>
          </xdr:cNvSpPr>
        </xdr:nvSpPr>
        <xdr:spPr bwMode="auto">
          <a:xfrm flipH="1">
            <a:off x="4100365" y="49730442"/>
            <a:ext cx="813737" cy="815624"/>
          </a:xfrm>
          <a:prstGeom prst="line">
            <a:avLst/>
          </a:prstGeom>
          <a:noFill/>
          <a:ln w="9525">
            <a:solidFill>
              <a:srgbClr val="000000"/>
            </a:solidFill>
            <a:round/>
            <a:headEnd/>
            <a:tailEnd type="triangle" w="med" len="med"/>
          </a:ln>
        </xdr:spPr>
      </xdr:sp>
      <xdr:cxnSp macro="">
        <xdr:nvCxnSpPr>
          <xdr:cNvPr id="3608" name="Straight Connector 318">
            <a:extLst>
              <a:ext uri="{FF2B5EF4-FFF2-40B4-BE49-F238E27FC236}">
                <a16:creationId xmlns:a16="http://schemas.microsoft.com/office/drawing/2014/main" id="{00000000-0008-0000-0000-0000180E0000}"/>
              </a:ext>
            </a:extLst>
          </xdr:cNvPr>
          <xdr:cNvCxnSpPr>
            <a:cxnSpLocks noChangeShapeType="1"/>
            <a:stCxn id="3607" idx="1"/>
          </xdr:cNvCxnSpPr>
        </xdr:nvCxnSpPr>
        <xdr:spPr bwMode="auto">
          <a:xfrm rot="5400000" flipH="1" flipV="1">
            <a:off x="4463724" y="49900946"/>
            <a:ext cx="288716" cy="1001523"/>
          </a:xfrm>
          <a:prstGeom prst="line">
            <a:avLst/>
          </a:prstGeom>
          <a:noFill/>
          <a:ln w="9525" algn="ctr">
            <a:solidFill>
              <a:srgbClr val="000000"/>
            </a:solidFill>
            <a:round/>
            <a:headEnd/>
            <a:tailEnd/>
          </a:ln>
        </xdr:spPr>
      </xdr:cxnSp>
      <xdr:sp macro="" textlink="">
        <xdr:nvSpPr>
          <xdr:cNvPr id="1073" name="TextBox 320">
            <a:extLst>
              <a:ext uri="{FF2B5EF4-FFF2-40B4-BE49-F238E27FC236}">
                <a16:creationId xmlns:a16="http://schemas.microsoft.com/office/drawing/2014/main" id="{00000000-0008-0000-0000-000031040000}"/>
              </a:ext>
            </a:extLst>
          </xdr:cNvPr>
          <xdr:cNvSpPr txBox="1">
            <a:spLocks noChangeArrowheads="1"/>
          </xdr:cNvSpPr>
        </xdr:nvSpPr>
        <xdr:spPr bwMode="auto">
          <a:xfrm>
            <a:off x="4394758" y="50139894"/>
            <a:ext cx="223354" cy="301293"/>
          </a:xfrm>
          <a:prstGeom prst="rect">
            <a:avLst/>
          </a:prstGeom>
          <a:noFill/>
          <a:ln w="9525">
            <a:noFill/>
            <a:miter lim="800000"/>
            <a:headEnd/>
            <a:tailEnd/>
          </a:ln>
        </xdr:spPr>
        <xdr:txBody>
          <a:bodyPr vertOverflow="clip" wrap="square" lIns="91440" tIns="45720" rIns="91440" bIns="45720" anchor="t" upright="1"/>
          <a:lstStyle/>
          <a:p>
            <a:pPr algn="l" rtl="1">
              <a:defRPr sz="1000"/>
            </a:pPr>
            <a:r>
              <a:rPr lang="en-US" sz="1100" b="0" i="0" strike="noStrike">
                <a:solidFill>
                  <a:srgbClr val="000000"/>
                </a:solidFill>
                <a:latin typeface="Symbol"/>
              </a:rPr>
              <a:t>d</a:t>
            </a:r>
          </a:p>
        </xdr:txBody>
      </xdr:sp>
      <xdr:cxnSp macro="">
        <xdr:nvCxnSpPr>
          <xdr:cNvPr id="3610" name="Straight Connector 329">
            <a:extLst>
              <a:ext uri="{FF2B5EF4-FFF2-40B4-BE49-F238E27FC236}">
                <a16:creationId xmlns:a16="http://schemas.microsoft.com/office/drawing/2014/main" id="{00000000-0008-0000-0000-00001A0E0000}"/>
              </a:ext>
            </a:extLst>
          </xdr:cNvPr>
          <xdr:cNvCxnSpPr>
            <a:cxnSpLocks noChangeShapeType="1"/>
            <a:stCxn id="3607" idx="1"/>
          </xdr:cNvCxnSpPr>
        </xdr:nvCxnSpPr>
        <xdr:spPr bwMode="auto">
          <a:xfrm rot="5400000" flipH="1" flipV="1">
            <a:off x="4642463" y="49989270"/>
            <a:ext cx="21654" cy="1091939"/>
          </a:xfrm>
          <a:prstGeom prst="line">
            <a:avLst/>
          </a:prstGeom>
          <a:noFill/>
          <a:ln w="9525" algn="ctr">
            <a:solidFill>
              <a:srgbClr val="000000"/>
            </a:solidFill>
            <a:round/>
            <a:headEnd/>
            <a:tailEnd/>
          </a:ln>
        </xdr:spPr>
      </xdr:cxnSp>
      <xdr:sp macro="" textlink="">
        <xdr:nvSpPr>
          <xdr:cNvPr id="3611" name="Arc 330">
            <a:extLst>
              <a:ext uri="{FF2B5EF4-FFF2-40B4-BE49-F238E27FC236}">
                <a16:creationId xmlns:a16="http://schemas.microsoft.com/office/drawing/2014/main" id="{00000000-0008-0000-0000-00001B0E0000}"/>
              </a:ext>
            </a:extLst>
          </xdr:cNvPr>
          <xdr:cNvSpPr>
            <a:spLocks noChangeArrowheads="1"/>
          </xdr:cNvSpPr>
        </xdr:nvSpPr>
        <xdr:spPr bwMode="auto">
          <a:xfrm>
            <a:off x="4246421" y="50315093"/>
            <a:ext cx="173876" cy="166012"/>
          </a:xfrm>
          <a:custGeom>
            <a:avLst/>
            <a:gdLst>
              <a:gd name="T0" fmla="*/ 0 w 226218"/>
              <a:gd name="T1" fmla="*/ 0 h 178594"/>
              <a:gd name="T2" fmla="*/ 0 w 226218"/>
              <a:gd name="T3" fmla="*/ 0 h 178594"/>
              <a:gd name="T4" fmla="*/ 0 w 226218"/>
              <a:gd name="T5" fmla="*/ 0 h 178594"/>
              <a:gd name="T6" fmla="*/ 11796480 60000 65536"/>
              <a:gd name="T7" fmla="*/ 11796480 60000 65536"/>
              <a:gd name="T8" fmla="*/ 5898240 60000 65536"/>
              <a:gd name="T9" fmla="*/ 113109 w 226218"/>
              <a:gd name="T10" fmla="*/ 0 h 178594"/>
              <a:gd name="T11" fmla="*/ 226218 w 226218"/>
              <a:gd name="T12" fmla="*/ 146122 h 178594"/>
            </a:gdLst>
            <a:ahLst/>
            <a:cxnLst>
              <a:cxn ang="T6">
                <a:pos x="T0" y="T1"/>
              </a:cxn>
              <a:cxn ang="T7">
                <a:pos x="T2" y="T3"/>
              </a:cxn>
              <a:cxn ang="T8">
                <a:pos x="T4" y="T5"/>
              </a:cxn>
            </a:cxnLst>
            <a:rect l="T9" t="T10" r="T11" b="T12"/>
            <a:pathLst>
              <a:path w="226218" h="178594" stroke="0">
                <a:moveTo>
                  <a:pt x="113109" y="0"/>
                </a:moveTo>
                <a:lnTo>
                  <a:pt x="113108" y="0"/>
                </a:lnTo>
                <a:cubicBezTo>
                  <a:pt x="175577" y="0"/>
                  <a:pt x="226218" y="39979"/>
                  <a:pt x="226218" y="89297"/>
                </a:cubicBezTo>
                <a:cubicBezTo>
                  <a:pt x="226218" y="111209"/>
                  <a:pt x="216012" y="132357"/>
                  <a:pt x="197543" y="148714"/>
                </a:cubicBezTo>
                <a:lnTo>
                  <a:pt x="113109" y="89297"/>
                </a:lnTo>
                <a:close/>
              </a:path>
              <a:path w="226218" h="178594" fill="none">
                <a:moveTo>
                  <a:pt x="113109" y="0"/>
                </a:moveTo>
                <a:lnTo>
                  <a:pt x="113108" y="0"/>
                </a:lnTo>
                <a:cubicBezTo>
                  <a:pt x="175577" y="0"/>
                  <a:pt x="226218" y="39979"/>
                  <a:pt x="226218" y="89297"/>
                </a:cubicBezTo>
                <a:cubicBezTo>
                  <a:pt x="226218" y="111209"/>
                  <a:pt x="216012" y="132357"/>
                  <a:pt x="197543" y="148714"/>
                </a:cubicBezTo>
              </a:path>
            </a:pathLst>
          </a:custGeom>
          <a:noFill/>
          <a:ln w="9525" algn="ctr">
            <a:solidFill>
              <a:srgbClr val="000000"/>
            </a:solidFill>
            <a:miter lim="800000"/>
            <a:headEnd/>
            <a:tailEnd/>
          </a:ln>
        </xdr:spPr>
      </xdr:sp>
      <xdr:sp macro="" textlink="">
        <xdr:nvSpPr>
          <xdr:cNvPr id="3612" name="Arc 331">
            <a:extLst>
              <a:ext uri="{FF2B5EF4-FFF2-40B4-BE49-F238E27FC236}">
                <a16:creationId xmlns:a16="http://schemas.microsoft.com/office/drawing/2014/main" id="{00000000-0008-0000-0000-00001C0E0000}"/>
              </a:ext>
            </a:extLst>
          </xdr:cNvPr>
          <xdr:cNvSpPr>
            <a:spLocks noChangeArrowheads="1"/>
          </xdr:cNvSpPr>
        </xdr:nvSpPr>
        <xdr:spPr bwMode="auto">
          <a:xfrm rot="2530748">
            <a:off x="4302061" y="50430579"/>
            <a:ext cx="166920" cy="166012"/>
          </a:xfrm>
          <a:custGeom>
            <a:avLst/>
            <a:gdLst>
              <a:gd name="T0" fmla="*/ 0 w 226218"/>
              <a:gd name="T1" fmla="*/ 0 h 178594"/>
              <a:gd name="T2" fmla="*/ 0 w 226218"/>
              <a:gd name="T3" fmla="*/ 0 h 178594"/>
              <a:gd name="T4" fmla="*/ 0 w 226218"/>
              <a:gd name="T5" fmla="*/ 0 h 178594"/>
              <a:gd name="T6" fmla="*/ 11796480 60000 65536"/>
              <a:gd name="T7" fmla="*/ 17694720 60000 65536"/>
              <a:gd name="T8" fmla="*/ 5898240 60000 65536"/>
              <a:gd name="T9" fmla="*/ 118027 w 226218"/>
              <a:gd name="T10" fmla="*/ 0 h 178594"/>
              <a:gd name="T11" fmla="*/ 216382 w 226218"/>
              <a:gd name="T12" fmla="*/ 48707 h 178594"/>
            </a:gdLst>
            <a:ahLst/>
            <a:cxnLst>
              <a:cxn ang="T6">
                <a:pos x="T0" y="T1"/>
              </a:cxn>
              <a:cxn ang="T7">
                <a:pos x="T2" y="T3"/>
              </a:cxn>
              <a:cxn ang="T8">
                <a:pos x="T4" y="T5"/>
              </a:cxn>
            </a:cxnLst>
            <a:rect l="T9" t="T10" r="T11" b="T12"/>
            <a:pathLst>
              <a:path w="226218" h="178594" stroke="0">
                <a:moveTo>
                  <a:pt x="113109" y="0"/>
                </a:moveTo>
                <a:lnTo>
                  <a:pt x="113108" y="0"/>
                </a:lnTo>
                <a:cubicBezTo>
                  <a:pt x="155600" y="0"/>
                  <a:pt x="194507" y="18801"/>
                  <a:pt x="213836" y="48675"/>
                </a:cubicBezTo>
                <a:lnTo>
                  <a:pt x="113109" y="89297"/>
                </a:lnTo>
                <a:close/>
              </a:path>
              <a:path w="226218" h="178594" fill="none">
                <a:moveTo>
                  <a:pt x="113109" y="0"/>
                </a:moveTo>
                <a:lnTo>
                  <a:pt x="113108" y="0"/>
                </a:lnTo>
                <a:cubicBezTo>
                  <a:pt x="155600" y="0"/>
                  <a:pt x="194507" y="18801"/>
                  <a:pt x="213836" y="48675"/>
                </a:cubicBezTo>
              </a:path>
            </a:pathLst>
          </a:custGeom>
          <a:noFill/>
          <a:ln w="9525" algn="ctr">
            <a:solidFill>
              <a:srgbClr val="000000"/>
            </a:solidFill>
            <a:miter lim="800000"/>
            <a:headEnd/>
            <a:tailEnd/>
          </a:ln>
        </xdr:spPr>
      </xdr:sp>
      <xdr:sp macro="" textlink="">
        <xdr:nvSpPr>
          <xdr:cNvPr id="1077" name="TextBox 332">
            <a:extLst>
              <a:ext uri="{FF2B5EF4-FFF2-40B4-BE49-F238E27FC236}">
                <a16:creationId xmlns:a16="http://schemas.microsoft.com/office/drawing/2014/main" id="{00000000-0008-0000-0000-000035040000}"/>
              </a:ext>
            </a:extLst>
          </xdr:cNvPr>
          <xdr:cNvSpPr txBox="1">
            <a:spLocks noChangeArrowheads="1"/>
          </xdr:cNvSpPr>
        </xdr:nvSpPr>
        <xdr:spPr bwMode="auto">
          <a:xfrm>
            <a:off x="4692564" y="50326904"/>
            <a:ext cx="287170" cy="301293"/>
          </a:xfrm>
          <a:prstGeom prst="rect">
            <a:avLst/>
          </a:prstGeom>
          <a:noFill/>
          <a:ln w="9525">
            <a:noFill/>
            <a:miter lim="800000"/>
            <a:headEnd/>
            <a:tailEnd/>
          </a:ln>
        </xdr:spPr>
        <xdr:txBody>
          <a:bodyPr vertOverflow="clip" wrap="square" lIns="91440" tIns="45720" rIns="91440" bIns="45720" anchor="t" upright="1"/>
          <a:lstStyle/>
          <a:p>
            <a:pPr algn="l" rtl="1">
              <a:defRPr sz="1000"/>
            </a:pPr>
            <a:r>
              <a:rPr lang="en-US" sz="1100" b="0" i="0" strike="noStrike">
                <a:solidFill>
                  <a:srgbClr val="000000"/>
                </a:solidFill>
                <a:latin typeface="Symbol"/>
              </a:rPr>
              <a:t></a:t>
            </a:r>
          </a:p>
        </xdr:txBody>
      </xdr:sp>
      <xdr:sp macro="" textlink="">
        <xdr:nvSpPr>
          <xdr:cNvPr id="3614" name="Line 427">
            <a:extLst>
              <a:ext uri="{FF2B5EF4-FFF2-40B4-BE49-F238E27FC236}">
                <a16:creationId xmlns:a16="http://schemas.microsoft.com/office/drawing/2014/main" id="{00000000-0008-0000-0000-00001E0E0000}"/>
              </a:ext>
            </a:extLst>
          </xdr:cNvPr>
          <xdr:cNvSpPr>
            <a:spLocks noChangeShapeType="1"/>
          </xdr:cNvSpPr>
        </xdr:nvSpPr>
        <xdr:spPr bwMode="auto">
          <a:xfrm flipH="1">
            <a:off x="3001472" y="51087409"/>
            <a:ext cx="778962" cy="144358"/>
          </a:xfrm>
          <a:prstGeom prst="line">
            <a:avLst/>
          </a:prstGeom>
          <a:noFill/>
          <a:ln w="9525">
            <a:solidFill>
              <a:srgbClr val="000000"/>
            </a:solidFill>
            <a:prstDash val="dash"/>
            <a:round/>
            <a:headEnd/>
            <a:tailEnd/>
          </a:ln>
        </xdr:spPr>
      </xdr:sp>
      <xdr:sp macro="" textlink="">
        <xdr:nvSpPr>
          <xdr:cNvPr id="3615" name="Line 428">
            <a:extLst>
              <a:ext uri="{FF2B5EF4-FFF2-40B4-BE49-F238E27FC236}">
                <a16:creationId xmlns:a16="http://schemas.microsoft.com/office/drawing/2014/main" id="{00000000-0008-0000-0000-00001F0E0000}"/>
              </a:ext>
            </a:extLst>
          </xdr:cNvPr>
          <xdr:cNvSpPr>
            <a:spLocks noChangeShapeType="1"/>
          </xdr:cNvSpPr>
        </xdr:nvSpPr>
        <xdr:spPr bwMode="auto">
          <a:xfrm>
            <a:off x="4135141" y="51087409"/>
            <a:ext cx="1043253" cy="129922"/>
          </a:xfrm>
          <a:prstGeom prst="line">
            <a:avLst/>
          </a:prstGeom>
          <a:noFill/>
          <a:ln w="9525">
            <a:solidFill>
              <a:srgbClr val="000000"/>
            </a:solidFill>
            <a:prstDash val="dash"/>
            <a:round/>
            <a:headEnd/>
            <a:tailEnd/>
          </a:ln>
        </xdr:spPr>
      </xdr:sp>
      <xdr:sp macro="" textlink="">
        <xdr:nvSpPr>
          <xdr:cNvPr id="3616" name="Line 429">
            <a:extLst>
              <a:ext uri="{FF2B5EF4-FFF2-40B4-BE49-F238E27FC236}">
                <a16:creationId xmlns:a16="http://schemas.microsoft.com/office/drawing/2014/main" id="{00000000-0008-0000-0000-0000200E0000}"/>
              </a:ext>
            </a:extLst>
          </xdr:cNvPr>
          <xdr:cNvSpPr>
            <a:spLocks noChangeShapeType="1"/>
          </xdr:cNvSpPr>
        </xdr:nvSpPr>
        <xdr:spPr bwMode="auto">
          <a:xfrm>
            <a:off x="2994518" y="51231767"/>
            <a:ext cx="0" cy="101051"/>
          </a:xfrm>
          <a:prstGeom prst="line">
            <a:avLst/>
          </a:prstGeom>
          <a:noFill/>
          <a:ln w="9525">
            <a:solidFill>
              <a:srgbClr val="000000"/>
            </a:solidFill>
            <a:prstDash val="dash"/>
            <a:round/>
            <a:headEnd/>
            <a:tailEnd/>
          </a:ln>
        </xdr:spPr>
      </xdr:sp>
      <xdr:sp macro="" textlink="">
        <xdr:nvSpPr>
          <xdr:cNvPr id="3617" name="Line 430">
            <a:extLst>
              <a:ext uri="{FF2B5EF4-FFF2-40B4-BE49-F238E27FC236}">
                <a16:creationId xmlns:a16="http://schemas.microsoft.com/office/drawing/2014/main" id="{00000000-0008-0000-0000-0000210E0000}"/>
              </a:ext>
            </a:extLst>
          </xdr:cNvPr>
          <xdr:cNvSpPr>
            <a:spLocks noChangeShapeType="1"/>
          </xdr:cNvSpPr>
        </xdr:nvSpPr>
        <xdr:spPr bwMode="auto">
          <a:xfrm>
            <a:off x="5185349" y="51217331"/>
            <a:ext cx="0" cy="101051"/>
          </a:xfrm>
          <a:prstGeom prst="line">
            <a:avLst/>
          </a:prstGeom>
          <a:noFill/>
          <a:ln w="9525">
            <a:solidFill>
              <a:srgbClr val="000000"/>
            </a:solidFill>
            <a:prstDash val="dash"/>
            <a:round/>
            <a:headEnd/>
            <a:tailEnd/>
          </a:ln>
        </xdr:spPr>
      </xdr:sp>
      <xdr:sp macro="" textlink="">
        <xdr:nvSpPr>
          <xdr:cNvPr id="3618" name="Line 431">
            <a:extLst>
              <a:ext uri="{FF2B5EF4-FFF2-40B4-BE49-F238E27FC236}">
                <a16:creationId xmlns:a16="http://schemas.microsoft.com/office/drawing/2014/main" id="{00000000-0008-0000-0000-0000220E0000}"/>
              </a:ext>
            </a:extLst>
          </xdr:cNvPr>
          <xdr:cNvSpPr>
            <a:spLocks noChangeShapeType="1"/>
          </xdr:cNvSpPr>
        </xdr:nvSpPr>
        <xdr:spPr bwMode="auto">
          <a:xfrm>
            <a:off x="2897148" y="51340036"/>
            <a:ext cx="1008478" cy="0"/>
          </a:xfrm>
          <a:prstGeom prst="line">
            <a:avLst/>
          </a:prstGeom>
          <a:noFill/>
          <a:ln w="9525">
            <a:solidFill>
              <a:srgbClr val="000000"/>
            </a:solidFill>
            <a:round/>
            <a:headEnd/>
            <a:tailEnd/>
          </a:ln>
        </xdr:spPr>
      </xdr:sp>
      <xdr:sp macro="" textlink="">
        <xdr:nvSpPr>
          <xdr:cNvPr id="3619" name="Line 432">
            <a:extLst>
              <a:ext uri="{FF2B5EF4-FFF2-40B4-BE49-F238E27FC236}">
                <a16:creationId xmlns:a16="http://schemas.microsoft.com/office/drawing/2014/main" id="{00000000-0008-0000-0000-0000230E0000}"/>
              </a:ext>
            </a:extLst>
          </xdr:cNvPr>
          <xdr:cNvSpPr>
            <a:spLocks noChangeShapeType="1"/>
          </xdr:cNvSpPr>
        </xdr:nvSpPr>
        <xdr:spPr bwMode="auto">
          <a:xfrm>
            <a:off x="4079501" y="51332818"/>
            <a:ext cx="1356229" cy="0"/>
          </a:xfrm>
          <a:prstGeom prst="line">
            <a:avLst/>
          </a:prstGeom>
          <a:noFill/>
          <a:ln w="9525">
            <a:solidFill>
              <a:srgbClr val="000000"/>
            </a:solidFill>
            <a:round/>
            <a:headEnd/>
            <a:tailEnd/>
          </a:ln>
        </xdr:spPr>
      </xdr:sp>
      <xdr:sp macro="" textlink="">
        <xdr:nvSpPr>
          <xdr:cNvPr id="3620" name="Line 433">
            <a:extLst>
              <a:ext uri="{FF2B5EF4-FFF2-40B4-BE49-F238E27FC236}">
                <a16:creationId xmlns:a16="http://schemas.microsoft.com/office/drawing/2014/main" id="{00000000-0008-0000-0000-0000240E0000}"/>
              </a:ext>
            </a:extLst>
          </xdr:cNvPr>
          <xdr:cNvSpPr>
            <a:spLocks noChangeShapeType="1"/>
          </xdr:cNvSpPr>
        </xdr:nvSpPr>
        <xdr:spPr bwMode="auto">
          <a:xfrm flipV="1">
            <a:off x="3912581" y="51231767"/>
            <a:ext cx="55640" cy="101051"/>
          </a:xfrm>
          <a:prstGeom prst="line">
            <a:avLst/>
          </a:prstGeom>
          <a:noFill/>
          <a:ln w="9525">
            <a:solidFill>
              <a:srgbClr val="000000"/>
            </a:solidFill>
            <a:round/>
            <a:headEnd/>
            <a:tailEnd/>
          </a:ln>
        </xdr:spPr>
      </xdr:sp>
      <xdr:sp macro="" textlink="">
        <xdr:nvSpPr>
          <xdr:cNvPr id="3621" name="Line 434">
            <a:extLst>
              <a:ext uri="{FF2B5EF4-FFF2-40B4-BE49-F238E27FC236}">
                <a16:creationId xmlns:a16="http://schemas.microsoft.com/office/drawing/2014/main" id="{00000000-0008-0000-0000-0000250E0000}"/>
              </a:ext>
            </a:extLst>
          </xdr:cNvPr>
          <xdr:cNvSpPr>
            <a:spLocks noChangeShapeType="1"/>
          </xdr:cNvSpPr>
        </xdr:nvSpPr>
        <xdr:spPr bwMode="auto">
          <a:xfrm>
            <a:off x="3975175" y="51224549"/>
            <a:ext cx="48686" cy="245409"/>
          </a:xfrm>
          <a:prstGeom prst="line">
            <a:avLst/>
          </a:prstGeom>
          <a:noFill/>
          <a:ln w="9525">
            <a:solidFill>
              <a:srgbClr val="000000"/>
            </a:solidFill>
            <a:round/>
            <a:headEnd/>
            <a:tailEnd/>
          </a:ln>
        </xdr:spPr>
      </xdr:sp>
      <xdr:sp macro="" textlink="">
        <xdr:nvSpPr>
          <xdr:cNvPr id="3622" name="Line 435">
            <a:extLst>
              <a:ext uri="{FF2B5EF4-FFF2-40B4-BE49-F238E27FC236}">
                <a16:creationId xmlns:a16="http://schemas.microsoft.com/office/drawing/2014/main" id="{00000000-0008-0000-0000-0000260E0000}"/>
              </a:ext>
            </a:extLst>
          </xdr:cNvPr>
          <xdr:cNvSpPr>
            <a:spLocks noChangeShapeType="1"/>
          </xdr:cNvSpPr>
        </xdr:nvSpPr>
        <xdr:spPr bwMode="auto">
          <a:xfrm flipH="1">
            <a:off x="4030815" y="51332818"/>
            <a:ext cx="55640" cy="144358"/>
          </a:xfrm>
          <a:prstGeom prst="line">
            <a:avLst/>
          </a:prstGeom>
          <a:noFill/>
          <a:ln w="9525">
            <a:solidFill>
              <a:srgbClr val="000000"/>
            </a:solidFill>
            <a:round/>
            <a:headEnd/>
            <a:tailEnd/>
          </a:ln>
        </xdr:spPr>
      </xdr:sp>
      <xdr:sp macro="" textlink="">
        <xdr:nvSpPr>
          <xdr:cNvPr id="3623" name="Rectangle 836">
            <a:extLst>
              <a:ext uri="{FF2B5EF4-FFF2-40B4-BE49-F238E27FC236}">
                <a16:creationId xmlns:a16="http://schemas.microsoft.com/office/drawing/2014/main" id="{00000000-0008-0000-0000-0000270E0000}"/>
              </a:ext>
            </a:extLst>
          </xdr:cNvPr>
          <xdr:cNvSpPr>
            <a:spLocks noChangeArrowheads="1"/>
          </xdr:cNvSpPr>
        </xdr:nvSpPr>
        <xdr:spPr bwMode="auto">
          <a:xfrm>
            <a:off x="2820642" y="49578866"/>
            <a:ext cx="2670728" cy="2057104"/>
          </a:xfrm>
          <a:prstGeom prst="rect">
            <a:avLst/>
          </a:prstGeom>
          <a:noFill/>
          <a:ln w="9525">
            <a:solidFill>
              <a:srgbClr val="000000"/>
            </a:solidFill>
            <a:miter lim="800000"/>
            <a:headEnd/>
            <a:tailEnd/>
          </a:ln>
        </xdr:spPr>
      </xdr:sp>
      <xdr:sp macro="" textlink="">
        <xdr:nvSpPr>
          <xdr:cNvPr id="3624" name="Line 837">
            <a:extLst>
              <a:ext uri="{FF2B5EF4-FFF2-40B4-BE49-F238E27FC236}">
                <a16:creationId xmlns:a16="http://schemas.microsoft.com/office/drawing/2014/main" id="{00000000-0008-0000-0000-0000280E0000}"/>
              </a:ext>
            </a:extLst>
          </xdr:cNvPr>
          <xdr:cNvSpPr>
            <a:spLocks noChangeShapeType="1"/>
          </xdr:cNvSpPr>
        </xdr:nvSpPr>
        <xdr:spPr bwMode="auto">
          <a:xfrm flipV="1">
            <a:off x="4044725" y="49665481"/>
            <a:ext cx="549447" cy="43307"/>
          </a:xfrm>
          <a:prstGeom prst="line">
            <a:avLst/>
          </a:prstGeom>
          <a:noFill/>
          <a:ln w="9525">
            <a:solidFill>
              <a:srgbClr val="000000"/>
            </a:solidFill>
            <a:round/>
            <a:headEnd/>
            <a:tailEnd/>
          </a:ln>
        </xdr:spPr>
      </xdr:sp>
      <xdr:sp macro="" textlink="">
        <xdr:nvSpPr>
          <xdr:cNvPr id="3625" name="Line 838">
            <a:extLst>
              <a:ext uri="{FF2B5EF4-FFF2-40B4-BE49-F238E27FC236}">
                <a16:creationId xmlns:a16="http://schemas.microsoft.com/office/drawing/2014/main" id="{00000000-0008-0000-0000-0000290E0000}"/>
              </a:ext>
            </a:extLst>
          </xdr:cNvPr>
          <xdr:cNvSpPr>
            <a:spLocks noChangeShapeType="1"/>
          </xdr:cNvSpPr>
        </xdr:nvSpPr>
        <xdr:spPr bwMode="auto">
          <a:xfrm flipH="1">
            <a:off x="3627425" y="50690424"/>
            <a:ext cx="166920" cy="0"/>
          </a:xfrm>
          <a:prstGeom prst="line">
            <a:avLst/>
          </a:prstGeom>
          <a:noFill/>
          <a:ln w="9525">
            <a:solidFill>
              <a:srgbClr val="000000"/>
            </a:solidFill>
            <a:round/>
            <a:headEnd/>
            <a:tailEnd/>
          </a:ln>
        </xdr:spPr>
      </xdr:sp>
      <xdr:sp macro="" textlink="">
        <xdr:nvSpPr>
          <xdr:cNvPr id="3626" name="Line 839">
            <a:extLst>
              <a:ext uri="{FF2B5EF4-FFF2-40B4-BE49-F238E27FC236}">
                <a16:creationId xmlns:a16="http://schemas.microsoft.com/office/drawing/2014/main" id="{00000000-0008-0000-0000-00002A0E0000}"/>
              </a:ext>
            </a:extLst>
          </xdr:cNvPr>
          <xdr:cNvSpPr>
            <a:spLocks noChangeShapeType="1"/>
          </xdr:cNvSpPr>
        </xdr:nvSpPr>
        <xdr:spPr bwMode="auto">
          <a:xfrm flipH="1">
            <a:off x="3057112" y="50690424"/>
            <a:ext cx="431211" cy="0"/>
          </a:xfrm>
          <a:prstGeom prst="line">
            <a:avLst/>
          </a:prstGeom>
          <a:noFill/>
          <a:ln w="9525">
            <a:solidFill>
              <a:srgbClr val="000000"/>
            </a:solidFill>
            <a:round/>
            <a:headEnd/>
            <a:tailEnd/>
          </a:ln>
        </xdr:spPr>
      </xdr:sp>
      <xdr:sp macro="" textlink="">
        <xdr:nvSpPr>
          <xdr:cNvPr id="3627" name="Line 840">
            <a:extLst>
              <a:ext uri="{FF2B5EF4-FFF2-40B4-BE49-F238E27FC236}">
                <a16:creationId xmlns:a16="http://schemas.microsoft.com/office/drawing/2014/main" id="{00000000-0008-0000-0000-00002B0E0000}"/>
              </a:ext>
            </a:extLst>
          </xdr:cNvPr>
          <xdr:cNvSpPr>
            <a:spLocks noChangeShapeType="1"/>
          </xdr:cNvSpPr>
        </xdr:nvSpPr>
        <xdr:spPr bwMode="auto">
          <a:xfrm flipH="1">
            <a:off x="3168393" y="50704860"/>
            <a:ext cx="111280" cy="64961"/>
          </a:xfrm>
          <a:prstGeom prst="line">
            <a:avLst/>
          </a:prstGeom>
          <a:noFill/>
          <a:ln w="9525">
            <a:solidFill>
              <a:srgbClr val="000000"/>
            </a:solidFill>
            <a:round/>
            <a:headEnd/>
            <a:tailEnd/>
          </a:ln>
        </xdr:spPr>
      </xdr:sp>
      <xdr:sp macro="" textlink="">
        <xdr:nvSpPr>
          <xdr:cNvPr id="3628" name="Line 841">
            <a:extLst>
              <a:ext uri="{FF2B5EF4-FFF2-40B4-BE49-F238E27FC236}">
                <a16:creationId xmlns:a16="http://schemas.microsoft.com/office/drawing/2014/main" id="{00000000-0008-0000-0000-00002C0E0000}"/>
              </a:ext>
            </a:extLst>
          </xdr:cNvPr>
          <xdr:cNvSpPr>
            <a:spLocks noChangeShapeType="1"/>
          </xdr:cNvSpPr>
        </xdr:nvSpPr>
        <xdr:spPr bwMode="auto">
          <a:xfrm>
            <a:off x="3335314" y="50697642"/>
            <a:ext cx="90416" cy="72179"/>
          </a:xfrm>
          <a:prstGeom prst="line">
            <a:avLst/>
          </a:prstGeom>
          <a:noFill/>
          <a:ln w="9525">
            <a:solidFill>
              <a:srgbClr val="000000"/>
            </a:solidFill>
            <a:round/>
            <a:headEnd/>
            <a:tailEnd/>
          </a:ln>
        </xdr:spPr>
      </xdr:sp>
      <xdr:sp macro="" textlink="">
        <xdr:nvSpPr>
          <xdr:cNvPr id="3629" name="Line 842">
            <a:extLst>
              <a:ext uri="{FF2B5EF4-FFF2-40B4-BE49-F238E27FC236}">
                <a16:creationId xmlns:a16="http://schemas.microsoft.com/office/drawing/2014/main" id="{00000000-0008-0000-0000-00002D0E0000}"/>
              </a:ext>
            </a:extLst>
          </xdr:cNvPr>
          <xdr:cNvSpPr>
            <a:spLocks noChangeShapeType="1"/>
          </xdr:cNvSpPr>
        </xdr:nvSpPr>
        <xdr:spPr bwMode="auto">
          <a:xfrm>
            <a:off x="3397909" y="50697642"/>
            <a:ext cx="90416" cy="72179"/>
          </a:xfrm>
          <a:prstGeom prst="line">
            <a:avLst/>
          </a:prstGeom>
          <a:noFill/>
          <a:ln w="9525">
            <a:solidFill>
              <a:srgbClr val="000000"/>
            </a:solidFill>
            <a:round/>
            <a:headEnd/>
            <a:tailEnd/>
          </a:ln>
        </xdr:spPr>
      </xdr:sp>
      <xdr:sp macro="" textlink="">
        <xdr:nvSpPr>
          <xdr:cNvPr id="3630" name="Line 843">
            <a:extLst>
              <a:ext uri="{FF2B5EF4-FFF2-40B4-BE49-F238E27FC236}">
                <a16:creationId xmlns:a16="http://schemas.microsoft.com/office/drawing/2014/main" id="{00000000-0008-0000-0000-00002E0E0000}"/>
              </a:ext>
            </a:extLst>
          </xdr:cNvPr>
          <xdr:cNvSpPr>
            <a:spLocks noChangeShapeType="1"/>
          </xdr:cNvSpPr>
        </xdr:nvSpPr>
        <xdr:spPr bwMode="auto">
          <a:xfrm flipH="1">
            <a:off x="3112753" y="50697642"/>
            <a:ext cx="111280" cy="64961"/>
          </a:xfrm>
          <a:prstGeom prst="line">
            <a:avLst/>
          </a:prstGeom>
          <a:noFill/>
          <a:ln w="9525">
            <a:solidFill>
              <a:srgbClr val="000000"/>
            </a:solidFill>
            <a:round/>
            <a:headEnd/>
            <a:tailEnd/>
          </a:ln>
        </xdr:spPr>
      </xdr:sp>
      <xdr:sp macro="" textlink="">
        <xdr:nvSpPr>
          <xdr:cNvPr id="1234" name="TextBox 332">
            <a:extLst>
              <a:ext uri="{FF2B5EF4-FFF2-40B4-BE49-F238E27FC236}">
                <a16:creationId xmlns:a16="http://schemas.microsoft.com/office/drawing/2014/main" id="{00000000-0008-0000-0000-0000D2040000}"/>
              </a:ext>
            </a:extLst>
          </xdr:cNvPr>
          <xdr:cNvSpPr txBox="1">
            <a:spLocks noChangeArrowheads="1"/>
          </xdr:cNvSpPr>
        </xdr:nvSpPr>
        <xdr:spPr bwMode="auto">
          <a:xfrm>
            <a:off x="4809559" y="50295736"/>
            <a:ext cx="478616" cy="280514"/>
          </a:xfrm>
          <a:prstGeom prst="rect">
            <a:avLst/>
          </a:prstGeom>
          <a:noFill/>
          <a:ln w="9525">
            <a:noFill/>
            <a:miter lim="800000"/>
            <a:headEnd/>
            <a:tailEnd/>
          </a:ln>
        </xdr:spPr>
        <xdr:txBody>
          <a:bodyPr vertOverflow="clip" wrap="square" lIns="91440" tIns="45720" rIns="91440" bIns="45720" anchor="t" upright="1"/>
          <a:lstStyle/>
          <a:p>
            <a:pPr algn="l" rtl="1">
              <a:defRPr sz="1000"/>
            </a:pPr>
            <a:r>
              <a:rPr lang="en-US" sz="1100" b="0" i="0" strike="noStrike">
                <a:solidFill>
                  <a:srgbClr val="000000"/>
                </a:solidFill>
                <a:latin typeface="Symbol"/>
              </a:rPr>
              <a:t> = q</a:t>
            </a:r>
          </a:p>
        </xdr:txBody>
      </xdr:sp>
      <xdr:sp macro="" textlink="">
        <xdr:nvSpPr>
          <xdr:cNvPr id="1068" name="Text Box 848">
            <a:extLst>
              <a:ext uri="{FF2B5EF4-FFF2-40B4-BE49-F238E27FC236}">
                <a16:creationId xmlns:a16="http://schemas.microsoft.com/office/drawing/2014/main" id="{00000000-0008-0000-0000-00002C040000}"/>
              </a:ext>
            </a:extLst>
          </xdr:cNvPr>
          <xdr:cNvSpPr txBox="1">
            <a:spLocks noChangeArrowheads="1"/>
          </xdr:cNvSpPr>
        </xdr:nvSpPr>
        <xdr:spPr bwMode="auto">
          <a:xfrm>
            <a:off x="3469433" y="51428182"/>
            <a:ext cx="1372034" cy="187009"/>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Earth Pressure at Stem Wall</a:t>
            </a:r>
          </a:p>
        </xdr:txBody>
      </xdr:sp>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a:off x="4745744" y="49828212"/>
            <a:ext cx="755150" cy="280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Pressure</a:t>
            </a:r>
          </a:p>
        </xdr:txBody>
      </xdr:sp>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rot="20471699">
            <a:off x="4511753" y="50077558"/>
            <a:ext cx="712607" cy="238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Normal</a:t>
            </a:r>
          </a:p>
        </xdr:txBody>
      </xdr:sp>
      <xdr:cxnSp macro="">
        <xdr:nvCxnSpPr>
          <xdr:cNvPr id="1306" name="Straight Connector 1305">
            <a:extLst>
              <a:ext uri="{FF2B5EF4-FFF2-40B4-BE49-F238E27FC236}">
                <a16:creationId xmlns:a16="http://schemas.microsoft.com/office/drawing/2014/main" id="{00000000-0008-0000-0000-00001A050000}"/>
              </a:ext>
            </a:extLst>
          </xdr:cNvPr>
          <xdr:cNvCxnSpPr/>
        </xdr:nvCxnSpPr>
        <xdr:spPr>
          <a:xfrm>
            <a:off x="3745967" y="50223010"/>
            <a:ext cx="4679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7" name="Straight Connector 1306">
            <a:extLst>
              <a:ext uri="{FF2B5EF4-FFF2-40B4-BE49-F238E27FC236}">
                <a16:creationId xmlns:a16="http://schemas.microsoft.com/office/drawing/2014/main" id="{00000000-0008-0000-0000-00001B050000}"/>
              </a:ext>
            </a:extLst>
          </xdr:cNvPr>
          <xdr:cNvCxnSpPr/>
        </xdr:nvCxnSpPr>
        <xdr:spPr>
          <a:xfrm>
            <a:off x="3724695" y="50711312"/>
            <a:ext cx="47861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a:off x="3618336" y="50015221"/>
            <a:ext cx="255262" cy="218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a:t>
            </a:r>
          </a:p>
        </xdr:txBody>
      </xdr:sp>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a:off x="3565156" y="50659365"/>
            <a:ext cx="319078" cy="27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2</a:t>
            </a:r>
          </a:p>
        </xdr:txBody>
      </xdr:sp>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a:off x="4096952" y="50648976"/>
            <a:ext cx="319078" cy="27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2</a:t>
            </a:r>
          </a:p>
        </xdr:txBody>
      </xdr:sp>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a:off x="4086317" y="50015221"/>
            <a:ext cx="255262" cy="218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1</a:t>
            </a:r>
          </a:p>
        </xdr:txBody>
      </xdr:sp>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a:off x="3735331" y="51033384"/>
            <a:ext cx="627519" cy="290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BASE</a:t>
            </a:r>
          </a:p>
        </xdr:txBody>
      </xdr:sp>
    </xdr:grpSp>
    <xdr:clientData/>
  </xdr:twoCellAnchor>
  <xdr:twoCellAnchor>
    <xdr:from>
      <xdr:col>12</xdr:col>
      <xdr:colOff>485775</xdr:colOff>
      <xdr:row>79</xdr:row>
      <xdr:rowOff>142875</xdr:rowOff>
    </xdr:from>
    <xdr:to>
      <xdr:col>13</xdr:col>
      <xdr:colOff>133350</xdr:colOff>
      <xdr:row>83</xdr:row>
      <xdr:rowOff>9525</xdr:rowOff>
    </xdr:to>
    <xdr:grpSp>
      <xdr:nvGrpSpPr>
        <xdr:cNvPr id="3233" name="Group 1078">
          <a:extLst>
            <a:ext uri="{FF2B5EF4-FFF2-40B4-BE49-F238E27FC236}">
              <a16:creationId xmlns:a16="http://schemas.microsoft.com/office/drawing/2014/main" id="{00000000-0008-0000-0000-0000A10C0000}"/>
            </a:ext>
          </a:extLst>
        </xdr:cNvPr>
        <xdr:cNvGrpSpPr>
          <a:grpSpLocks/>
        </xdr:cNvGrpSpPr>
      </xdr:nvGrpSpPr>
      <xdr:grpSpPr bwMode="auto">
        <a:xfrm>
          <a:off x="7877175" y="15821025"/>
          <a:ext cx="352425" cy="666750"/>
          <a:chOff x="7800975" y="52644676"/>
          <a:chExt cx="257175" cy="628650"/>
        </a:xfrm>
      </xdr:grpSpPr>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a:off x="7800975" y="52644676"/>
            <a:ext cx="257175"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a:off x="7800975" y="52833271"/>
            <a:ext cx="257175" cy="23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a:off x="7800975" y="53048808"/>
            <a:ext cx="257175"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grpSp>
    <xdr:clientData/>
  </xdr:twoCellAnchor>
  <xdr:twoCellAnchor>
    <xdr:from>
      <xdr:col>1</xdr:col>
      <xdr:colOff>476250</xdr:colOff>
      <xdr:row>88</xdr:row>
      <xdr:rowOff>133350</xdr:rowOff>
    </xdr:from>
    <xdr:to>
      <xdr:col>2</xdr:col>
      <xdr:colOff>133350</xdr:colOff>
      <xdr:row>92</xdr:row>
      <xdr:rowOff>28575</xdr:rowOff>
    </xdr:to>
    <xdr:grpSp>
      <xdr:nvGrpSpPr>
        <xdr:cNvPr id="3234" name="Group 1313">
          <a:extLst>
            <a:ext uri="{FF2B5EF4-FFF2-40B4-BE49-F238E27FC236}">
              <a16:creationId xmlns:a16="http://schemas.microsoft.com/office/drawing/2014/main" id="{00000000-0008-0000-0000-0000A20C0000}"/>
            </a:ext>
          </a:extLst>
        </xdr:cNvPr>
        <xdr:cNvGrpSpPr>
          <a:grpSpLocks/>
        </xdr:cNvGrpSpPr>
      </xdr:nvGrpSpPr>
      <xdr:grpSpPr bwMode="auto">
        <a:xfrm>
          <a:off x="1085850" y="17640300"/>
          <a:ext cx="266700" cy="657225"/>
          <a:chOff x="7800975" y="52644676"/>
          <a:chExt cx="257175" cy="594203"/>
        </a:xfrm>
      </xdr:grpSpPr>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a:off x="7800975" y="52644676"/>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a:off x="7800975" y="52834132"/>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a:off x="7800975" y="53006365"/>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grpSp>
    <xdr:clientData/>
  </xdr:twoCellAnchor>
  <xdr:twoCellAnchor>
    <xdr:from>
      <xdr:col>1</xdr:col>
      <xdr:colOff>476250</xdr:colOff>
      <xdr:row>91</xdr:row>
      <xdr:rowOff>171450</xdr:rowOff>
    </xdr:from>
    <xdr:to>
      <xdr:col>2</xdr:col>
      <xdr:colOff>133350</xdr:colOff>
      <xdr:row>95</xdr:row>
      <xdr:rowOff>57150</xdr:rowOff>
    </xdr:to>
    <xdr:grpSp>
      <xdr:nvGrpSpPr>
        <xdr:cNvPr id="3235" name="Group 1332">
          <a:extLst>
            <a:ext uri="{FF2B5EF4-FFF2-40B4-BE49-F238E27FC236}">
              <a16:creationId xmlns:a16="http://schemas.microsoft.com/office/drawing/2014/main" id="{00000000-0008-0000-0000-0000A30C0000}"/>
            </a:ext>
          </a:extLst>
        </xdr:cNvPr>
        <xdr:cNvGrpSpPr>
          <a:grpSpLocks/>
        </xdr:cNvGrpSpPr>
      </xdr:nvGrpSpPr>
      <xdr:grpSpPr bwMode="auto">
        <a:xfrm>
          <a:off x="1085850" y="18249900"/>
          <a:ext cx="266700" cy="647700"/>
          <a:chOff x="7800975" y="52687734"/>
          <a:chExt cx="257175" cy="585592"/>
        </a:xfrm>
      </xdr:grpSpPr>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a:off x="7800975" y="52687734"/>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a:off x="7800975" y="52868579"/>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a:off x="7800975" y="53040812"/>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grpSp>
    <xdr:clientData/>
  </xdr:twoCellAnchor>
  <xdr:twoCellAnchor>
    <xdr:from>
      <xdr:col>2</xdr:col>
      <xdr:colOff>457200</xdr:colOff>
      <xdr:row>88</xdr:row>
      <xdr:rowOff>142875</xdr:rowOff>
    </xdr:from>
    <xdr:to>
      <xdr:col>3</xdr:col>
      <xdr:colOff>114300</xdr:colOff>
      <xdr:row>92</xdr:row>
      <xdr:rowOff>38100</xdr:rowOff>
    </xdr:to>
    <xdr:grpSp>
      <xdr:nvGrpSpPr>
        <xdr:cNvPr id="3236" name="Group 1346">
          <a:extLst>
            <a:ext uri="{FF2B5EF4-FFF2-40B4-BE49-F238E27FC236}">
              <a16:creationId xmlns:a16="http://schemas.microsoft.com/office/drawing/2014/main" id="{00000000-0008-0000-0000-0000A40C0000}"/>
            </a:ext>
          </a:extLst>
        </xdr:cNvPr>
        <xdr:cNvGrpSpPr>
          <a:grpSpLocks/>
        </xdr:cNvGrpSpPr>
      </xdr:nvGrpSpPr>
      <xdr:grpSpPr bwMode="auto">
        <a:xfrm>
          <a:off x="1676400" y="17649825"/>
          <a:ext cx="285750" cy="657225"/>
          <a:chOff x="7800975" y="52644676"/>
          <a:chExt cx="257175" cy="594203"/>
        </a:xfrm>
      </xdr:grpSpPr>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a:off x="7800975" y="52644676"/>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a:off x="7800975" y="52834132"/>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a:off x="7800975" y="53006365"/>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grpSp>
    <xdr:clientData/>
  </xdr:twoCellAnchor>
  <xdr:twoCellAnchor>
    <xdr:from>
      <xdr:col>2</xdr:col>
      <xdr:colOff>466725</xdr:colOff>
      <xdr:row>91</xdr:row>
      <xdr:rowOff>152400</xdr:rowOff>
    </xdr:from>
    <xdr:to>
      <xdr:col>3</xdr:col>
      <xdr:colOff>123825</xdr:colOff>
      <xdr:row>95</xdr:row>
      <xdr:rowOff>38100</xdr:rowOff>
    </xdr:to>
    <xdr:grpSp>
      <xdr:nvGrpSpPr>
        <xdr:cNvPr id="3237" name="Group 1395">
          <a:extLst>
            <a:ext uri="{FF2B5EF4-FFF2-40B4-BE49-F238E27FC236}">
              <a16:creationId xmlns:a16="http://schemas.microsoft.com/office/drawing/2014/main" id="{00000000-0008-0000-0000-0000A50C0000}"/>
            </a:ext>
          </a:extLst>
        </xdr:cNvPr>
        <xdr:cNvGrpSpPr>
          <a:grpSpLocks/>
        </xdr:cNvGrpSpPr>
      </xdr:nvGrpSpPr>
      <xdr:grpSpPr bwMode="auto">
        <a:xfrm>
          <a:off x="1685925" y="18230850"/>
          <a:ext cx="285750" cy="647700"/>
          <a:chOff x="7800975" y="52687734"/>
          <a:chExt cx="257175" cy="585592"/>
        </a:xfrm>
      </xdr:grpSpPr>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a:off x="7800975" y="52687734"/>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a:off x="7800975" y="52868579"/>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a:off x="7800975" y="53040812"/>
            <a:ext cx="257175" cy="2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grpSp>
    <xdr:clientData/>
  </xdr:twoCellAnchor>
  <xdr:twoCellAnchor>
    <xdr:from>
      <xdr:col>4</xdr:col>
      <xdr:colOff>447675</xdr:colOff>
      <xdr:row>89</xdr:row>
      <xdr:rowOff>152438</xdr:rowOff>
    </xdr:from>
    <xdr:to>
      <xdr:col>5</xdr:col>
      <xdr:colOff>104775</xdr:colOff>
      <xdr:row>91</xdr:row>
      <xdr:rowOff>24283</xdr:rowOff>
    </xdr:to>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a:off x="2886075" y="8563013"/>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4</xdr:col>
      <xdr:colOff>457200</xdr:colOff>
      <xdr:row>91</xdr:row>
      <xdr:rowOff>152438</xdr:rowOff>
    </xdr:from>
    <xdr:to>
      <xdr:col>5</xdr:col>
      <xdr:colOff>114300</xdr:colOff>
      <xdr:row>93</xdr:row>
      <xdr:rowOff>24283</xdr:rowOff>
    </xdr:to>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a:off x="2895600" y="8944013"/>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4</xdr:col>
      <xdr:colOff>457200</xdr:colOff>
      <xdr:row>93</xdr:row>
      <xdr:rowOff>142913</xdr:rowOff>
    </xdr:from>
    <xdr:to>
      <xdr:col>5</xdr:col>
      <xdr:colOff>114300</xdr:colOff>
      <xdr:row>95</xdr:row>
      <xdr:rowOff>14758</xdr:rowOff>
    </xdr:to>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a:off x="2895600" y="9315488"/>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6</xdr:col>
      <xdr:colOff>447675</xdr:colOff>
      <xdr:row>93</xdr:row>
      <xdr:rowOff>142913</xdr:rowOff>
    </xdr:from>
    <xdr:to>
      <xdr:col>7</xdr:col>
      <xdr:colOff>104775</xdr:colOff>
      <xdr:row>95</xdr:row>
      <xdr:rowOff>14758</xdr:rowOff>
    </xdr:to>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a:off x="4105275" y="9315488"/>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6</xdr:col>
      <xdr:colOff>457200</xdr:colOff>
      <xdr:row>91</xdr:row>
      <xdr:rowOff>142913</xdr:rowOff>
    </xdr:from>
    <xdr:to>
      <xdr:col>7</xdr:col>
      <xdr:colOff>114300</xdr:colOff>
      <xdr:row>93</xdr:row>
      <xdr:rowOff>14758</xdr:rowOff>
    </xdr:to>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a:off x="4114800" y="8934488"/>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6</xdr:col>
      <xdr:colOff>457200</xdr:colOff>
      <xdr:row>89</xdr:row>
      <xdr:rowOff>152438</xdr:rowOff>
    </xdr:from>
    <xdr:to>
      <xdr:col>7</xdr:col>
      <xdr:colOff>114300</xdr:colOff>
      <xdr:row>91</xdr:row>
      <xdr:rowOff>24283</xdr:rowOff>
    </xdr:to>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a:off x="4114800" y="8563013"/>
          <a:ext cx="2667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a:t>
          </a:r>
        </a:p>
      </xdr:txBody>
    </xdr:sp>
    <xdr:clientData/>
  </xdr:twoCellAnchor>
  <xdr:twoCellAnchor>
    <xdr:from>
      <xdr:col>3</xdr:col>
      <xdr:colOff>84071</xdr:colOff>
      <xdr:row>83</xdr:row>
      <xdr:rowOff>178490</xdr:rowOff>
    </xdr:from>
    <xdr:to>
      <xdr:col>3</xdr:col>
      <xdr:colOff>356156</xdr:colOff>
      <xdr:row>85</xdr:row>
      <xdr:rowOff>33131</xdr:rowOff>
    </xdr:to>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a:off x="1939375" y="7450620"/>
          <a:ext cx="272085" cy="260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solidFill>
                <a:srgbClr val="FF0000"/>
              </a:solidFill>
            </a:rPr>
            <a:t>M</a:t>
          </a:r>
        </a:p>
      </xdr:txBody>
    </xdr:sp>
    <xdr:clientData/>
  </xdr:twoCellAnchor>
  <xdr:twoCellAnchor>
    <xdr:from>
      <xdr:col>3</xdr:col>
      <xdr:colOff>52183</xdr:colOff>
      <xdr:row>84</xdr:row>
      <xdr:rowOff>182218</xdr:rowOff>
    </xdr:from>
    <xdr:to>
      <xdr:col>3</xdr:col>
      <xdr:colOff>397570</xdr:colOff>
      <xdr:row>85</xdr:row>
      <xdr:rowOff>182218</xdr:rowOff>
    </xdr:to>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a:off x="1907487" y="7644848"/>
          <a:ext cx="345387" cy="215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solidFill>
                <a:srgbClr val="FF0000"/>
              </a:solidFill>
            </a:rPr>
            <a:t>Fe</a:t>
          </a:r>
        </a:p>
      </xdr:txBody>
    </xdr:sp>
    <xdr:clientData/>
  </xdr:twoCellAnchor>
  <xdr:twoCellAnchor>
    <xdr:from>
      <xdr:col>5</xdr:col>
      <xdr:colOff>308741</xdr:colOff>
      <xdr:row>321</xdr:row>
      <xdr:rowOff>164210</xdr:rowOff>
    </xdr:from>
    <xdr:to>
      <xdr:col>8</xdr:col>
      <xdr:colOff>329762</xdr:colOff>
      <xdr:row>334</xdr:row>
      <xdr:rowOff>13122</xdr:rowOff>
    </xdr:to>
    <xdr:grpSp>
      <xdr:nvGrpSpPr>
        <xdr:cNvPr id="3246" name="Group 1504">
          <a:extLst>
            <a:ext uri="{FF2B5EF4-FFF2-40B4-BE49-F238E27FC236}">
              <a16:creationId xmlns:a16="http://schemas.microsoft.com/office/drawing/2014/main" id="{00000000-0008-0000-0000-0000AE0C0000}"/>
            </a:ext>
          </a:extLst>
        </xdr:cNvPr>
        <xdr:cNvGrpSpPr>
          <a:grpSpLocks/>
        </xdr:cNvGrpSpPr>
      </xdr:nvGrpSpPr>
      <xdr:grpSpPr bwMode="auto">
        <a:xfrm>
          <a:off x="3432941" y="64000760"/>
          <a:ext cx="1849821" cy="2325412"/>
          <a:chOff x="3299222" y="55464075"/>
          <a:chExt cx="2060971" cy="3669505"/>
        </a:xfrm>
      </xdr:grpSpPr>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a:off x="3653658" y="58590465"/>
            <a:ext cx="1334797" cy="449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Pressure Diagram</a:t>
            </a:r>
          </a:p>
        </xdr:txBody>
      </xdr:sp>
      <xdr:grpSp>
        <xdr:nvGrpSpPr>
          <xdr:cNvPr id="3548" name="Group 1540">
            <a:extLst>
              <a:ext uri="{FF2B5EF4-FFF2-40B4-BE49-F238E27FC236}">
                <a16:creationId xmlns:a16="http://schemas.microsoft.com/office/drawing/2014/main" id="{00000000-0008-0000-0000-0000DC0D0000}"/>
              </a:ext>
            </a:extLst>
          </xdr:cNvPr>
          <xdr:cNvGrpSpPr>
            <a:grpSpLocks/>
          </xdr:cNvGrpSpPr>
        </xdr:nvGrpSpPr>
        <xdr:grpSpPr bwMode="auto">
          <a:xfrm>
            <a:off x="3421052" y="55543553"/>
            <a:ext cx="1746242" cy="1682407"/>
            <a:chOff x="3421136" y="55248778"/>
            <a:chExt cx="1696745" cy="1991806"/>
          </a:xfrm>
        </xdr:grpSpPr>
        <xdr:grpSp>
          <xdr:nvGrpSpPr>
            <xdr:cNvPr id="3572" name="Group 1493">
              <a:extLst>
                <a:ext uri="{FF2B5EF4-FFF2-40B4-BE49-F238E27FC236}">
                  <a16:creationId xmlns:a16="http://schemas.microsoft.com/office/drawing/2014/main" id="{00000000-0008-0000-0000-0000F40D0000}"/>
                </a:ext>
              </a:extLst>
            </xdr:cNvPr>
            <xdr:cNvGrpSpPr>
              <a:grpSpLocks/>
            </xdr:cNvGrpSpPr>
          </xdr:nvGrpSpPr>
          <xdr:grpSpPr bwMode="auto">
            <a:xfrm>
              <a:off x="3884786" y="56229359"/>
              <a:ext cx="237389" cy="979857"/>
              <a:chOff x="3327362" y="57627153"/>
              <a:chExt cx="237842" cy="979857"/>
            </a:xfrm>
          </xdr:grpSpPr>
          <xdr:cxnSp macro="">
            <xdr:nvCxnSpPr>
              <xdr:cNvPr id="1315" name="Straight Connector 1314">
                <a:extLst>
                  <a:ext uri="{FF2B5EF4-FFF2-40B4-BE49-F238E27FC236}">
                    <a16:creationId xmlns:a16="http://schemas.microsoft.com/office/drawing/2014/main" id="{00000000-0008-0000-0000-000023050000}"/>
                  </a:ext>
                </a:extLst>
              </xdr:cNvPr>
              <xdr:cNvCxnSpPr/>
            </xdr:nvCxnSpPr>
            <xdr:spPr>
              <a:xfrm rot="5400000">
                <a:off x="3046569" y="58257031"/>
                <a:ext cx="690075" cy="988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a:off x="3337881" y="57627153"/>
                <a:ext cx="227323" cy="376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a:off x="3327362" y="58371758"/>
                <a:ext cx="227324" cy="18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grpSp>
        <xdr:grpSp>
          <xdr:nvGrpSpPr>
            <xdr:cNvPr id="3573" name="Group 1496">
              <a:extLst>
                <a:ext uri="{FF2B5EF4-FFF2-40B4-BE49-F238E27FC236}">
                  <a16:creationId xmlns:a16="http://schemas.microsoft.com/office/drawing/2014/main" id="{00000000-0008-0000-0000-0000F50D0000}"/>
                </a:ext>
              </a:extLst>
            </xdr:cNvPr>
            <xdr:cNvGrpSpPr>
              <a:grpSpLocks/>
            </xdr:cNvGrpSpPr>
          </xdr:nvGrpSpPr>
          <xdr:grpSpPr bwMode="auto">
            <a:xfrm>
              <a:off x="4438334" y="56330514"/>
              <a:ext cx="241099" cy="878936"/>
              <a:chOff x="3914066" y="57728307"/>
              <a:chExt cx="241563" cy="878936"/>
            </a:xfrm>
          </xdr:grpSpPr>
          <xdr:cxnSp macro="">
            <xdr:nvCxnSpPr>
              <xdr:cNvPr id="1371" name="Straight Connector 1370">
                <a:extLst>
                  <a:ext uri="{FF2B5EF4-FFF2-40B4-BE49-F238E27FC236}">
                    <a16:creationId xmlns:a16="http://schemas.microsoft.com/office/drawing/2014/main" id="{00000000-0008-0000-0000-00005B050000}"/>
                  </a:ext>
                </a:extLst>
              </xdr:cNvPr>
              <xdr:cNvCxnSpPr/>
            </xdr:nvCxnSpPr>
            <xdr:spPr>
              <a:xfrm rot="5400000">
                <a:off x="3617322" y="58261973"/>
                <a:ext cx="690075"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a:off x="3912940" y="57728733"/>
                <a:ext cx="237211" cy="18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a:off x="3912940" y="58371758"/>
                <a:ext cx="237211" cy="203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grpSp>
        <xdr:cxnSp macro="">
          <xdr:nvCxnSpPr>
            <xdr:cNvPr id="1475" name="Straight Connector 1474">
              <a:extLst>
                <a:ext uri="{FF2B5EF4-FFF2-40B4-BE49-F238E27FC236}">
                  <a16:creationId xmlns:a16="http://schemas.microsoft.com/office/drawing/2014/main" id="{00000000-0008-0000-0000-0000C3050000}"/>
                </a:ext>
              </a:extLst>
            </xdr:cNvPr>
            <xdr:cNvCxnSpPr/>
          </xdr:nvCxnSpPr>
          <xdr:spPr>
            <a:xfrm rot="5400000" flipH="1" flipV="1">
              <a:off x="4974706" y="56934757"/>
              <a:ext cx="26662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7" name="Straight Connector 1476">
              <a:extLst>
                <a:ext uri="{FF2B5EF4-FFF2-40B4-BE49-F238E27FC236}">
                  <a16:creationId xmlns:a16="http://schemas.microsoft.com/office/drawing/2014/main" id="{00000000-0008-0000-0000-0000C5050000}"/>
                </a:ext>
              </a:extLst>
            </xdr:cNvPr>
            <xdr:cNvCxnSpPr/>
          </xdr:nvCxnSpPr>
          <xdr:spPr>
            <a:xfrm rot="10800000">
              <a:off x="3943970" y="56628927"/>
              <a:ext cx="1173911" cy="1882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9" name="Straight Connector 1478">
              <a:extLst>
                <a:ext uri="{FF2B5EF4-FFF2-40B4-BE49-F238E27FC236}">
                  <a16:creationId xmlns:a16="http://schemas.microsoft.com/office/drawing/2014/main" id="{00000000-0008-0000-0000-0000C7050000}"/>
                </a:ext>
              </a:extLst>
            </xdr:cNvPr>
            <xdr:cNvCxnSpPr/>
          </xdr:nvCxnSpPr>
          <xdr:spPr>
            <a:xfrm rot="16200000" flipV="1">
              <a:off x="3238347" y="55917485"/>
              <a:ext cx="1144897" cy="2466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1" name="Straight Connector 1480">
              <a:extLst>
                <a:ext uri="{FF2B5EF4-FFF2-40B4-BE49-F238E27FC236}">
                  <a16:creationId xmlns:a16="http://schemas.microsoft.com/office/drawing/2014/main" id="{00000000-0008-0000-0000-0000C9050000}"/>
                </a:ext>
              </a:extLst>
            </xdr:cNvPr>
            <xdr:cNvCxnSpPr/>
          </xdr:nvCxnSpPr>
          <xdr:spPr>
            <a:xfrm rot="10800000">
              <a:off x="3509920" y="55452663"/>
              <a:ext cx="167702" cy="1568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3" name="Straight Connector 1482">
              <a:extLst>
                <a:ext uri="{FF2B5EF4-FFF2-40B4-BE49-F238E27FC236}">
                  <a16:creationId xmlns:a16="http://schemas.microsoft.com/office/drawing/2014/main" id="{00000000-0008-0000-0000-0000CB050000}"/>
                </a:ext>
              </a:extLst>
            </xdr:cNvPr>
            <xdr:cNvCxnSpPr/>
          </xdr:nvCxnSpPr>
          <xdr:spPr>
            <a:xfrm rot="5400000">
              <a:off x="3068757" y="55680075"/>
              <a:ext cx="86259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5" name="Straight Connector 1484">
              <a:extLst>
                <a:ext uri="{FF2B5EF4-FFF2-40B4-BE49-F238E27FC236}">
                  <a16:creationId xmlns:a16="http://schemas.microsoft.com/office/drawing/2014/main" id="{00000000-0008-0000-0000-0000CD050000}"/>
                </a:ext>
              </a:extLst>
            </xdr:cNvPr>
            <xdr:cNvCxnSpPr/>
          </xdr:nvCxnSpPr>
          <xdr:spPr>
            <a:xfrm>
              <a:off x="3519784" y="56142738"/>
              <a:ext cx="88783" cy="470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7" name="Straight Connector 1486">
              <a:extLst>
                <a:ext uri="{FF2B5EF4-FFF2-40B4-BE49-F238E27FC236}">
                  <a16:creationId xmlns:a16="http://schemas.microsoft.com/office/drawing/2014/main" id="{00000000-0008-0000-0000-0000CF050000}"/>
                </a:ext>
              </a:extLst>
            </xdr:cNvPr>
            <xdr:cNvCxnSpPr/>
          </xdr:nvCxnSpPr>
          <xdr:spPr>
            <a:xfrm rot="10800000" flipV="1">
              <a:off x="3431001" y="56205472"/>
              <a:ext cx="187431" cy="313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9" name="Straight Connector 1488">
              <a:extLst>
                <a:ext uri="{FF2B5EF4-FFF2-40B4-BE49-F238E27FC236}">
                  <a16:creationId xmlns:a16="http://schemas.microsoft.com/office/drawing/2014/main" id="{00000000-0008-0000-0000-0000D1050000}"/>
                </a:ext>
              </a:extLst>
            </xdr:cNvPr>
            <xdr:cNvCxnSpPr/>
          </xdr:nvCxnSpPr>
          <xdr:spPr>
            <a:xfrm>
              <a:off x="3421136" y="56268206"/>
              <a:ext cx="88783" cy="313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1" name="Straight Connector 1490">
              <a:extLst>
                <a:ext uri="{FF2B5EF4-FFF2-40B4-BE49-F238E27FC236}">
                  <a16:creationId xmlns:a16="http://schemas.microsoft.com/office/drawing/2014/main" id="{00000000-0008-0000-0000-0000D3050000}"/>
                </a:ext>
              </a:extLst>
            </xdr:cNvPr>
            <xdr:cNvCxnSpPr/>
          </xdr:nvCxnSpPr>
          <xdr:spPr>
            <a:xfrm rot="5400000">
              <a:off x="3051051" y="56801446"/>
              <a:ext cx="87827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3" name="Straight Connector 1492">
              <a:extLst>
                <a:ext uri="{FF2B5EF4-FFF2-40B4-BE49-F238E27FC236}">
                  <a16:creationId xmlns:a16="http://schemas.microsoft.com/office/drawing/2014/main" id="{00000000-0008-0000-0000-0000D5050000}"/>
                </a:ext>
              </a:extLst>
            </xdr:cNvPr>
            <xdr:cNvCxnSpPr/>
          </xdr:nvCxnSpPr>
          <xdr:spPr>
            <a:xfrm rot="10800000">
              <a:off x="3500055" y="57052383"/>
              <a:ext cx="1617826" cy="0"/>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3549" name="Group 1529">
            <a:extLst>
              <a:ext uri="{FF2B5EF4-FFF2-40B4-BE49-F238E27FC236}">
                <a16:creationId xmlns:a16="http://schemas.microsoft.com/office/drawing/2014/main" id="{00000000-0008-0000-0000-0000DD0D0000}"/>
              </a:ext>
            </a:extLst>
          </xdr:cNvPr>
          <xdr:cNvGrpSpPr>
            <a:grpSpLocks/>
          </xdr:cNvGrpSpPr>
        </xdr:nvGrpSpPr>
        <xdr:grpSpPr bwMode="auto">
          <a:xfrm>
            <a:off x="3920062" y="57800081"/>
            <a:ext cx="1190577" cy="447277"/>
            <a:chOff x="3910410" y="57810797"/>
            <a:chExt cx="1185465" cy="447277"/>
          </a:xfrm>
        </xdr:grpSpPr>
        <xdr:cxnSp macro="">
          <xdr:nvCxnSpPr>
            <xdr:cNvPr id="1499" name="Straight Connector 1498">
              <a:extLst>
                <a:ext uri="{FF2B5EF4-FFF2-40B4-BE49-F238E27FC236}">
                  <a16:creationId xmlns:a16="http://schemas.microsoft.com/office/drawing/2014/main" id="{00000000-0008-0000-0000-0000DB050000}"/>
                </a:ext>
              </a:extLst>
            </xdr:cNvPr>
            <xdr:cNvCxnSpPr/>
          </xdr:nvCxnSpPr>
          <xdr:spPr>
            <a:xfrm>
              <a:off x="3908883" y="57806317"/>
              <a:ext cx="1182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1" name="Straight Connector 1500">
              <a:extLst>
                <a:ext uri="{FF2B5EF4-FFF2-40B4-BE49-F238E27FC236}">
                  <a16:creationId xmlns:a16="http://schemas.microsoft.com/office/drawing/2014/main" id="{00000000-0008-0000-0000-0000DD050000}"/>
                </a:ext>
              </a:extLst>
            </xdr:cNvPr>
            <xdr:cNvCxnSpPr/>
          </xdr:nvCxnSpPr>
          <xdr:spPr>
            <a:xfrm rot="5400000">
              <a:off x="5015287" y="57885801"/>
              <a:ext cx="13247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3" name="Straight Connector 1502">
              <a:extLst>
                <a:ext uri="{FF2B5EF4-FFF2-40B4-BE49-F238E27FC236}">
                  <a16:creationId xmlns:a16="http://schemas.microsoft.com/office/drawing/2014/main" id="{00000000-0008-0000-0000-0000DF050000}"/>
                </a:ext>
              </a:extLst>
            </xdr:cNvPr>
            <xdr:cNvCxnSpPr/>
          </xdr:nvCxnSpPr>
          <xdr:spPr>
            <a:xfrm rot="10800000" flipV="1">
              <a:off x="3908883" y="57952038"/>
              <a:ext cx="1172641" cy="29144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7" name="Straight Connector 1506">
              <a:extLst>
                <a:ext uri="{FF2B5EF4-FFF2-40B4-BE49-F238E27FC236}">
                  <a16:creationId xmlns:a16="http://schemas.microsoft.com/office/drawing/2014/main" id="{00000000-0008-0000-0000-0000E3050000}"/>
                </a:ext>
              </a:extLst>
            </xdr:cNvPr>
            <xdr:cNvCxnSpPr/>
          </xdr:nvCxnSpPr>
          <xdr:spPr>
            <a:xfrm rot="5400000">
              <a:off x="3690301" y="58038146"/>
              <a:ext cx="437162"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9" name="Straight Arrow Connector 1508">
              <a:extLst>
                <a:ext uri="{FF2B5EF4-FFF2-40B4-BE49-F238E27FC236}">
                  <a16:creationId xmlns:a16="http://schemas.microsoft.com/office/drawing/2014/main" id="{00000000-0008-0000-0000-0000E5050000}"/>
                </a:ext>
              </a:extLst>
            </xdr:cNvPr>
            <xdr:cNvCxnSpPr/>
          </xdr:nvCxnSpPr>
          <xdr:spPr>
            <a:xfrm rot="5400000" flipH="1" flipV="1">
              <a:off x="3784421" y="58024899"/>
              <a:ext cx="4106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13" name="Straight Arrow Connector 1512">
              <a:extLst>
                <a:ext uri="{FF2B5EF4-FFF2-40B4-BE49-F238E27FC236}">
                  <a16:creationId xmlns:a16="http://schemas.microsoft.com/office/drawing/2014/main" id="{00000000-0008-0000-0000-0000E9050000}"/>
                </a:ext>
              </a:extLst>
            </xdr:cNvPr>
            <xdr:cNvCxnSpPr/>
          </xdr:nvCxnSpPr>
          <xdr:spPr>
            <a:xfrm rot="5400000" flipH="1" flipV="1">
              <a:off x="4090482" y="57991780"/>
              <a:ext cx="34443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17" name="Straight Arrow Connector 1516">
              <a:extLst>
                <a:ext uri="{FF2B5EF4-FFF2-40B4-BE49-F238E27FC236}">
                  <a16:creationId xmlns:a16="http://schemas.microsoft.com/office/drawing/2014/main" id="{00000000-0008-0000-0000-0000ED050000}"/>
                </a:ext>
              </a:extLst>
            </xdr:cNvPr>
            <xdr:cNvCxnSpPr/>
          </xdr:nvCxnSpPr>
          <xdr:spPr>
            <a:xfrm rot="5400000" flipH="1" flipV="1">
              <a:off x="3945818" y="58005027"/>
              <a:ext cx="3709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19" name="Straight Arrow Connector 1518">
              <a:extLst>
                <a:ext uri="{FF2B5EF4-FFF2-40B4-BE49-F238E27FC236}">
                  <a16:creationId xmlns:a16="http://schemas.microsoft.com/office/drawing/2014/main" id="{00000000-0008-0000-0000-0000EF050000}"/>
                </a:ext>
              </a:extLst>
            </xdr:cNvPr>
            <xdr:cNvCxnSpPr/>
          </xdr:nvCxnSpPr>
          <xdr:spPr>
            <a:xfrm rot="5400000" flipH="1" flipV="1">
              <a:off x="4403166" y="57952038"/>
              <a:ext cx="26494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1" name="Straight Arrow Connector 1520">
              <a:extLst>
                <a:ext uri="{FF2B5EF4-FFF2-40B4-BE49-F238E27FC236}">
                  <a16:creationId xmlns:a16="http://schemas.microsoft.com/office/drawing/2014/main" id="{00000000-0008-0000-0000-0000F1050000}"/>
                </a:ext>
              </a:extLst>
            </xdr:cNvPr>
            <xdr:cNvCxnSpPr/>
          </xdr:nvCxnSpPr>
          <xdr:spPr>
            <a:xfrm rot="5400000" flipH="1" flipV="1">
              <a:off x="4248393" y="57965285"/>
              <a:ext cx="29144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3" name="Straight Arrow Connector 1522">
              <a:extLst>
                <a:ext uri="{FF2B5EF4-FFF2-40B4-BE49-F238E27FC236}">
                  <a16:creationId xmlns:a16="http://schemas.microsoft.com/office/drawing/2014/main" id="{00000000-0008-0000-0000-0000F3050000}"/>
                </a:ext>
              </a:extLst>
            </xdr:cNvPr>
            <xdr:cNvCxnSpPr/>
          </xdr:nvCxnSpPr>
          <xdr:spPr>
            <a:xfrm rot="5400000" flipH="1" flipV="1">
              <a:off x="4532667" y="57933735"/>
              <a:ext cx="238452" cy="101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5" name="Straight Arrow Connector 1524">
              <a:extLst>
                <a:ext uri="{FF2B5EF4-FFF2-40B4-BE49-F238E27FC236}">
                  <a16:creationId xmlns:a16="http://schemas.microsoft.com/office/drawing/2014/main" id="{00000000-0008-0000-0000-0000F5050000}"/>
                </a:ext>
              </a:extLst>
            </xdr:cNvPr>
            <xdr:cNvCxnSpPr/>
          </xdr:nvCxnSpPr>
          <xdr:spPr>
            <a:xfrm rot="5400000" flipH="1" flipV="1">
              <a:off x="4655543" y="57932168"/>
              <a:ext cx="22520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7" name="Straight Arrow Connector 1526">
              <a:extLst>
                <a:ext uri="{FF2B5EF4-FFF2-40B4-BE49-F238E27FC236}">
                  <a16:creationId xmlns:a16="http://schemas.microsoft.com/office/drawing/2014/main" id="{00000000-0008-0000-0000-0000F7050000}"/>
                </a:ext>
              </a:extLst>
            </xdr:cNvPr>
            <xdr:cNvCxnSpPr/>
          </xdr:nvCxnSpPr>
          <xdr:spPr>
            <a:xfrm rot="5400000" flipH="1" flipV="1">
              <a:off x="4823563" y="57905673"/>
              <a:ext cx="17221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29" name="Straight Arrow Connector 1528">
              <a:extLst>
                <a:ext uri="{FF2B5EF4-FFF2-40B4-BE49-F238E27FC236}">
                  <a16:creationId xmlns:a16="http://schemas.microsoft.com/office/drawing/2014/main" id="{00000000-0008-0000-0000-0000F9050000}"/>
                </a:ext>
              </a:extLst>
            </xdr:cNvPr>
            <xdr:cNvCxnSpPr/>
          </xdr:nvCxnSpPr>
          <xdr:spPr>
            <a:xfrm rot="5400000" flipH="1" flipV="1">
              <a:off x="4953064" y="57874123"/>
              <a:ext cx="145721" cy="1010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3550" name="Group 1530">
            <a:extLst>
              <a:ext uri="{FF2B5EF4-FFF2-40B4-BE49-F238E27FC236}">
                <a16:creationId xmlns:a16="http://schemas.microsoft.com/office/drawing/2014/main" id="{00000000-0008-0000-0000-0000DE0D0000}"/>
              </a:ext>
            </a:extLst>
          </xdr:cNvPr>
          <xdr:cNvGrpSpPr>
            <a:grpSpLocks/>
          </xdr:cNvGrpSpPr>
        </xdr:nvGrpSpPr>
        <xdr:grpSpPr bwMode="auto">
          <a:xfrm>
            <a:off x="3872898" y="57437924"/>
            <a:ext cx="250616" cy="1125535"/>
            <a:chOff x="3335713" y="57659379"/>
            <a:chExt cx="251096" cy="1125535"/>
          </a:xfrm>
        </xdr:grpSpPr>
        <xdr:cxnSp macro="">
          <xdr:nvCxnSpPr>
            <xdr:cNvPr id="1532" name="Straight Connector 1531">
              <a:extLst>
                <a:ext uri="{FF2B5EF4-FFF2-40B4-BE49-F238E27FC236}">
                  <a16:creationId xmlns:a16="http://schemas.microsoft.com/office/drawing/2014/main" id="{00000000-0008-0000-0000-0000FC050000}"/>
                </a:ext>
              </a:extLst>
            </xdr:cNvPr>
            <xdr:cNvCxnSpPr/>
          </xdr:nvCxnSpPr>
          <xdr:spPr>
            <a:xfrm rot="5400000">
              <a:off x="3035053" y="58237174"/>
              <a:ext cx="688859" cy="10171"/>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a:off x="3342684" y="57659379"/>
              <a:ext cx="244125" cy="198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a:off x="3335713" y="58398944"/>
              <a:ext cx="244128" cy="38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grpSp>
      <xdr:grpSp>
        <xdr:nvGrpSpPr>
          <xdr:cNvPr id="3551" name="Group 1534">
            <a:extLst>
              <a:ext uri="{FF2B5EF4-FFF2-40B4-BE49-F238E27FC236}">
                <a16:creationId xmlns:a16="http://schemas.microsoft.com/office/drawing/2014/main" id="{00000000-0008-0000-0000-0000DF0D0000}"/>
              </a:ext>
            </a:extLst>
          </xdr:cNvPr>
          <xdr:cNvGrpSpPr>
            <a:grpSpLocks/>
          </xdr:cNvGrpSpPr>
        </xdr:nvGrpSpPr>
        <xdr:grpSpPr bwMode="auto">
          <a:xfrm>
            <a:off x="4410991" y="57422954"/>
            <a:ext cx="290973" cy="1109407"/>
            <a:chOff x="3906829" y="57644408"/>
            <a:chExt cx="291527" cy="1109407"/>
          </a:xfrm>
        </xdr:grpSpPr>
        <xdr:cxnSp macro="">
          <xdr:nvCxnSpPr>
            <xdr:cNvPr id="1536" name="Straight Connector 1535">
              <a:extLst>
                <a:ext uri="{FF2B5EF4-FFF2-40B4-BE49-F238E27FC236}">
                  <a16:creationId xmlns:a16="http://schemas.microsoft.com/office/drawing/2014/main" id="{00000000-0008-0000-0000-000000060000}"/>
                </a:ext>
              </a:extLst>
            </xdr:cNvPr>
            <xdr:cNvCxnSpPr/>
          </xdr:nvCxnSpPr>
          <xdr:spPr>
            <a:xfrm rot="5400000">
              <a:off x="3618307" y="58255507"/>
              <a:ext cx="688860"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a:off x="3906829" y="57644408"/>
              <a:ext cx="244126" cy="425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a:off x="3909994" y="58391457"/>
              <a:ext cx="288362" cy="362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grpSp>
      <xdr:sp macro="" textlink="">
        <xdr:nvSpPr>
          <xdr:cNvPr id="1539" name="Rectangle 1538">
            <a:extLst>
              <a:ext uri="{FF2B5EF4-FFF2-40B4-BE49-F238E27FC236}">
                <a16:creationId xmlns:a16="http://schemas.microsoft.com/office/drawing/2014/main" id="{00000000-0008-0000-0000-000003060000}"/>
              </a:ext>
            </a:extLst>
          </xdr:cNvPr>
          <xdr:cNvSpPr/>
        </xdr:nvSpPr>
        <xdr:spPr>
          <a:xfrm>
            <a:off x="3299222" y="55464075"/>
            <a:ext cx="2060971" cy="36695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twoCellAnchor>
    <xdr:from>
      <xdr:col>5</xdr:col>
      <xdr:colOff>266700</xdr:colOff>
      <xdr:row>346</xdr:row>
      <xdr:rowOff>6570</xdr:rowOff>
    </xdr:from>
    <xdr:to>
      <xdr:col>8</xdr:col>
      <xdr:colOff>161925</xdr:colOff>
      <xdr:row>357</xdr:row>
      <xdr:rowOff>16095</xdr:rowOff>
    </xdr:to>
    <xdr:grpSp>
      <xdr:nvGrpSpPr>
        <xdr:cNvPr id="3247" name="Group 1570">
          <a:extLst>
            <a:ext uri="{FF2B5EF4-FFF2-40B4-BE49-F238E27FC236}">
              <a16:creationId xmlns:a16="http://schemas.microsoft.com/office/drawing/2014/main" id="{00000000-0008-0000-0000-0000AF0C0000}"/>
            </a:ext>
          </a:extLst>
        </xdr:cNvPr>
        <xdr:cNvGrpSpPr>
          <a:grpSpLocks/>
        </xdr:cNvGrpSpPr>
      </xdr:nvGrpSpPr>
      <xdr:grpSpPr bwMode="auto">
        <a:xfrm>
          <a:off x="3390900" y="68605620"/>
          <a:ext cx="1724025" cy="2105025"/>
          <a:chOff x="3333750" y="59502675"/>
          <a:chExt cx="2076450" cy="3038475"/>
        </a:xfrm>
      </xdr:grpSpPr>
      <xdr:grpSp>
        <xdr:nvGrpSpPr>
          <xdr:cNvPr id="3520" name="Group 1304">
            <a:extLst>
              <a:ext uri="{FF2B5EF4-FFF2-40B4-BE49-F238E27FC236}">
                <a16:creationId xmlns:a16="http://schemas.microsoft.com/office/drawing/2014/main" id="{00000000-0008-0000-0000-0000C00D0000}"/>
              </a:ext>
            </a:extLst>
          </xdr:cNvPr>
          <xdr:cNvGrpSpPr>
            <a:grpSpLocks/>
          </xdr:cNvGrpSpPr>
        </xdr:nvGrpSpPr>
        <xdr:grpSpPr bwMode="auto">
          <a:xfrm flipH="1">
            <a:off x="3629025" y="59551091"/>
            <a:ext cx="1395174" cy="1680490"/>
            <a:chOff x="3423999" y="55245794"/>
            <a:chExt cx="1698527" cy="1989535"/>
          </a:xfrm>
        </xdr:grpSpPr>
        <xdr:cxnSp macro="">
          <xdr:nvCxnSpPr>
            <xdr:cNvPr id="1323" name="Straight Connector 1322">
              <a:extLst>
                <a:ext uri="{FF2B5EF4-FFF2-40B4-BE49-F238E27FC236}">
                  <a16:creationId xmlns:a16="http://schemas.microsoft.com/office/drawing/2014/main" id="{00000000-0008-0000-0000-00002B050000}"/>
                </a:ext>
              </a:extLst>
            </xdr:cNvPr>
            <xdr:cNvCxnSpPr/>
          </xdr:nvCxnSpPr>
          <xdr:spPr>
            <a:xfrm rot="5400000" flipH="1" flipV="1">
              <a:off x="4973536" y="56931287"/>
              <a:ext cx="276712" cy="13966"/>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4" name="Straight Connector 1323">
              <a:extLst>
                <a:ext uri="{FF2B5EF4-FFF2-40B4-BE49-F238E27FC236}">
                  <a16:creationId xmlns:a16="http://schemas.microsoft.com/office/drawing/2014/main" id="{00000000-0008-0000-0000-00002C050000}"/>
                </a:ext>
              </a:extLst>
            </xdr:cNvPr>
            <xdr:cNvCxnSpPr/>
          </xdr:nvCxnSpPr>
          <xdr:spPr>
            <a:xfrm rot="10800000">
              <a:off x="3945690" y="56620865"/>
              <a:ext cx="1173185" cy="195326"/>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5" name="Straight Connector 1324">
              <a:extLst>
                <a:ext uri="{FF2B5EF4-FFF2-40B4-BE49-F238E27FC236}">
                  <a16:creationId xmlns:a16="http://schemas.microsoft.com/office/drawing/2014/main" id="{00000000-0008-0000-0000-00002D050000}"/>
                </a:ext>
              </a:extLst>
            </xdr:cNvPr>
            <xdr:cNvCxnSpPr/>
          </xdr:nvCxnSpPr>
          <xdr:spPr>
            <a:xfrm rot="16200000" flipV="1">
              <a:off x="3243307" y="55916171"/>
              <a:ext cx="1139402" cy="23743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6" name="Straight Connector 1325">
              <a:extLst>
                <a:ext uri="{FF2B5EF4-FFF2-40B4-BE49-F238E27FC236}">
                  <a16:creationId xmlns:a16="http://schemas.microsoft.com/office/drawing/2014/main" id="{00000000-0008-0000-0000-00002E050000}"/>
                </a:ext>
              </a:extLst>
            </xdr:cNvPr>
            <xdr:cNvCxnSpPr/>
          </xdr:nvCxnSpPr>
          <xdr:spPr>
            <a:xfrm rot="10800000">
              <a:off x="3512729" y="55465186"/>
              <a:ext cx="181564" cy="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7" name="Straight Connector 1326">
              <a:extLst>
                <a:ext uri="{FF2B5EF4-FFF2-40B4-BE49-F238E27FC236}">
                  <a16:creationId xmlns:a16="http://schemas.microsoft.com/office/drawing/2014/main" id="{00000000-0008-0000-0000-00002F050000}"/>
                </a:ext>
              </a:extLst>
            </xdr:cNvPr>
            <xdr:cNvCxnSpPr/>
          </xdr:nvCxnSpPr>
          <xdr:spPr>
            <a:xfrm rot="5400000">
              <a:off x="3081385" y="55684929"/>
              <a:ext cx="862690" cy="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8" name="Straight Connector 1327">
              <a:extLst>
                <a:ext uri="{FF2B5EF4-FFF2-40B4-BE49-F238E27FC236}">
                  <a16:creationId xmlns:a16="http://schemas.microsoft.com/office/drawing/2014/main" id="{00000000-0008-0000-0000-000030050000}"/>
                </a:ext>
              </a:extLst>
            </xdr:cNvPr>
            <xdr:cNvCxnSpPr/>
          </xdr:nvCxnSpPr>
          <xdr:spPr>
            <a:xfrm>
              <a:off x="3526696" y="56148827"/>
              <a:ext cx="97765" cy="48832"/>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29" name="Straight Connector 1328">
              <a:extLst>
                <a:ext uri="{FF2B5EF4-FFF2-40B4-BE49-F238E27FC236}">
                  <a16:creationId xmlns:a16="http://schemas.microsoft.com/office/drawing/2014/main" id="{00000000-0008-0000-0000-000031050000}"/>
                </a:ext>
              </a:extLst>
            </xdr:cNvPr>
            <xdr:cNvCxnSpPr/>
          </xdr:nvCxnSpPr>
          <xdr:spPr>
            <a:xfrm rot="10800000" flipV="1">
              <a:off x="3428930" y="56197659"/>
              <a:ext cx="195531" cy="48832"/>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30" name="Straight Connector 1329">
              <a:extLst>
                <a:ext uri="{FF2B5EF4-FFF2-40B4-BE49-F238E27FC236}">
                  <a16:creationId xmlns:a16="http://schemas.microsoft.com/office/drawing/2014/main" id="{00000000-0008-0000-0000-000032050000}"/>
                </a:ext>
              </a:extLst>
            </xdr:cNvPr>
            <xdr:cNvCxnSpPr/>
          </xdr:nvCxnSpPr>
          <xdr:spPr>
            <a:xfrm>
              <a:off x="3428930" y="56262768"/>
              <a:ext cx="83799" cy="48832"/>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31" name="Straight Connector 1330">
              <a:extLst>
                <a:ext uri="{FF2B5EF4-FFF2-40B4-BE49-F238E27FC236}">
                  <a16:creationId xmlns:a16="http://schemas.microsoft.com/office/drawing/2014/main" id="{00000000-0008-0000-0000-000033050000}"/>
                </a:ext>
              </a:extLst>
            </xdr:cNvPr>
            <xdr:cNvCxnSpPr/>
          </xdr:nvCxnSpPr>
          <xdr:spPr>
            <a:xfrm rot="5400000">
              <a:off x="3059279" y="56799914"/>
              <a:ext cx="878967" cy="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332" name="Straight Connector 1331">
              <a:extLst>
                <a:ext uri="{FF2B5EF4-FFF2-40B4-BE49-F238E27FC236}">
                  <a16:creationId xmlns:a16="http://schemas.microsoft.com/office/drawing/2014/main" id="{00000000-0008-0000-0000-000034050000}"/>
                </a:ext>
              </a:extLst>
            </xdr:cNvPr>
            <xdr:cNvCxnSpPr/>
          </xdr:nvCxnSpPr>
          <xdr:spPr>
            <a:xfrm rot="10800000">
              <a:off x="3512729" y="57060349"/>
              <a:ext cx="1606146" cy="0"/>
            </a:xfrm>
            <a:prstGeom prst="line">
              <a:avLst/>
            </a:prstGeom>
            <a:ln w="9525"/>
          </xdr:spPr>
          <xdr:style>
            <a:lnRef idx="1">
              <a:schemeClr val="dk1"/>
            </a:lnRef>
            <a:fillRef idx="0">
              <a:schemeClr val="dk1"/>
            </a:fillRef>
            <a:effectRef idx="0">
              <a:schemeClr val="dk1"/>
            </a:effectRef>
            <a:fontRef idx="minor">
              <a:schemeClr val="tx1"/>
            </a:fontRef>
          </xdr:style>
        </xdr:cxnSp>
      </xdr:grpSp>
      <xdr:grpSp>
        <xdr:nvGrpSpPr>
          <xdr:cNvPr id="3521" name="Group 1473">
            <a:extLst>
              <a:ext uri="{FF2B5EF4-FFF2-40B4-BE49-F238E27FC236}">
                <a16:creationId xmlns:a16="http://schemas.microsoft.com/office/drawing/2014/main" id="{00000000-0008-0000-0000-0000C10D0000}"/>
              </a:ext>
            </a:extLst>
          </xdr:cNvPr>
          <xdr:cNvGrpSpPr>
            <a:grpSpLocks/>
          </xdr:cNvGrpSpPr>
        </xdr:nvGrpSpPr>
        <xdr:grpSpPr bwMode="auto">
          <a:xfrm>
            <a:off x="3648075" y="61229081"/>
            <a:ext cx="1009650" cy="902494"/>
            <a:chOff x="3910410" y="57810797"/>
            <a:chExt cx="1185465" cy="447277"/>
          </a:xfrm>
        </xdr:grpSpPr>
        <xdr:cxnSp macro="">
          <xdr:nvCxnSpPr>
            <xdr:cNvPr id="1476" name="Straight Connector 1475">
              <a:extLst>
                <a:ext uri="{FF2B5EF4-FFF2-40B4-BE49-F238E27FC236}">
                  <a16:creationId xmlns:a16="http://schemas.microsoft.com/office/drawing/2014/main" id="{00000000-0008-0000-0000-0000C4050000}"/>
                </a:ext>
              </a:extLst>
            </xdr:cNvPr>
            <xdr:cNvCxnSpPr/>
          </xdr:nvCxnSpPr>
          <xdr:spPr>
            <a:xfrm>
              <a:off x="3905035" y="57813739"/>
              <a:ext cx="1185342" cy="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478" name="Straight Connector 1477">
              <a:extLst>
                <a:ext uri="{FF2B5EF4-FFF2-40B4-BE49-F238E27FC236}">
                  <a16:creationId xmlns:a16="http://schemas.microsoft.com/office/drawing/2014/main" id="{00000000-0008-0000-0000-0000C6050000}"/>
                </a:ext>
              </a:extLst>
            </xdr:cNvPr>
            <xdr:cNvCxnSpPr/>
          </xdr:nvCxnSpPr>
          <xdr:spPr>
            <a:xfrm rot="5400000">
              <a:off x="5018910" y="57885364"/>
              <a:ext cx="129464" cy="1347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480" name="Straight Connector 1479">
              <a:extLst>
                <a:ext uri="{FF2B5EF4-FFF2-40B4-BE49-F238E27FC236}">
                  <a16:creationId xmlns:a16="http://schemas.microsoft.com/office/drawing/2014/main" id="{00000000-0008-0000-0000-0000C8050000}"/>
                </a:ext>
              </a:extLst>
            </xdr:cNvPr>
            <xdr:cNvCxnSpPr/>
          </xdr:nvCxnSpPr>
          <xdr:spPr>
            <a:xfrm rot="10800000" flipV="1">
              <a:off x="3905035" y="57956831"/>
              <a:ext cx="1185342" cy="292998"/>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482" name="Straight Connector 1481">
              <a:extLst>
                <a:ext uri="{FF2B5EF4-FFF2-40B4-BE49-F238E27FC236}">
                  <a16:creationId xmlns:a16="http://schemas.microsoft.com/office/drawing/2014/main" id="{00000000-0008-0000-0000-0000CA050000}"/>
                </a:ext>
              </a:extLst>
            </xdr:cNvPr>
            <xdr:cNvCxnSpPr/>
          </xdr:nvCxnSpPr>
          <xdr:spPr>
            <a:xfrm rot="5400000">
              <a:off x="3686990" y="58038598"/>
              <a:ext cx="436089" cy="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1484" name="Straight Arrow Connector 1483">
              <a:extLst>
                <a:ext uri="{FF2B5EF4-FFF2-40B4-BE49-F238E27FC236}">
                  <a16:creationId xmlns:a16="http://schemas.microsoft.com/office/drawing/2014/main" id="{00000000-0008-0000-0000-0000CC050000}"/>
                </a:ext>
              </a:extLst>
            </xdr:cNvPr>
            <xdr:cNvCxnSpPr/>
          </xdr:nvCxnSpPr>
          <xdr:spPr>
            <a:xfrm rot="5400000" flipH="1" flipV="1">
              <a:off x="3781437" y="58024970"/>
              <a:ext cx="408834"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86" name="Straight Arrow Connector 1485">
              <a:extLst>
                <a:ext uri="{FF2B5EF4-FFF2-40B4-BE49-F238E27FC236}">
                  <a16:creationId xmlns:a16="http://schemas.microsoft.com/office/drawing/2014/main" id="{00000000-0008-0000-0000-0000CE050000}"/>
                </a:ext>
              </a:extLst>
            </xdr:cNvPr>
            <xdr:cNvCxnSpPr/>
          </xdr:nvCxnSpPr>
          <xdr:spPr>
            <a:xfrm rot="5400000" flipH="1" flipV="1">
              <a:off x="4084902" y="57990901"/>
              <a:ext cx="340695"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88" name="Straight Arrow Connector 1487">
              <a:extLst>
                <a:ext uri="{FF2B5EF4-FFF2-40B4-BE49-F238E27FC236}">
                  <a16:creationId xmlns:a16="http://schemas.microsoft.com/office/drawing/2014/main" id="{00000000-0008-0000-0000-0000D0050000}"/>
                </a:ext>
              </a:extLst>
            </xdr:cNvPr>
            <xdr:cNvCxnSpPr/>
          </xdr:nvCxnSpPr>
          <xdr:spPr>
            <a:xfrm rot="5400000" flipH="1" flipV="1">
              <a:off x="3936576" y="58004528"/>
              <a:ext cx="367950"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90" name="Straight Arrow Connector 1489">
              <a:extLst>
                <a:ext uri="{FF2B5EF4-FFF2-40B4-BE49-F238E27FC236}">
                  <a16:creationId xmlns:a16="http://schemas.microsoft.com/office/drawing/2014/main" id="{00000000-0008-0000-0000-0000D2050000}"/>
                </a:ext>
              </a:extLst>
            </xdr:cNvPr>
            <xdr:cNvCxnSpPr/>
          </xdr:nvCxnSpPr>
          <xdr:spPr>
            <a:xfrm rot="5400000" flipH="1" flipV="1">
              <a:off x="4401917" y="57950096"/>
              <a:ext cx="258928" cy="1347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92" name="Straight Arrow Connector 1491">
              <a:extLst>
                <a:ext uri="{FF2B5EF4-FFF2-40B4-BE49-F238E27FC236}">
                  <a16:creationId xmlns:a16="http://schemas.microsoft.com/office/drawing/2014/main" id="{00000000-0008-0000-0000-0000D4050000}"/>
                </a:ext>
              </a:extLst>
            </xdr:cNvPr>
            <xdr:cNvCxnSpPr/>
          </xdr:nvCxnSpPr>
          <xdr:spPr>
            <a:xfrm rot="5400000" flipH="1" flipV="1">
              <a:off x="4243448" y="57967052"/>
              <a:ext cx="292998"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95" name="Straight Arrow Connector 1494">
              <a:extLst>
                <a:ext uri="{FF2B5EF4-FFF2-40B4-BE49-F238E27FC236}">
                  <a16:creationId xmlns:a16="http://schemas.microsoft.com/office/drawing/2014/main" id="{00000000-0008-0000-0000-0000D7050000}"/>
                </a:ext>
              </a:extLst>
            </xdr:cNvPr>
            <xdr:cNvCxnSpPr/>
          </xdr:nvCxnSpPr>
          <xdr:spPr>
            <a:xfrm rot="5400000" flipH="1" flipV="1">
              <a:off x="4530037" y="57943203"/>
              <a:ext cx="231672"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96" name="Straight Arrow Connector 1495">
              <a:extLst>
                <a:ext uri="{FF2B5EF4-FFF2-40B4-BE49-F238E27FC236}">
                  <a16:creationId xmlns:a16="http://schemas.microsoft.com/office/drawing/2014/main" id="{00000000-0008-0000-0000-0000D8050000}"/>
                </a:ext>
              </a:extLst>
            </xdr:cNvPr>
            <xdr:cNvCxnSpPr/>
          </xdr:nvCxnSpPr>
          <xdr:spPr>
            <a:xfrm rot="5400000" flipH="1" flipV="1">
              <a:off x="4654672" y="57932983"/>
              <a:ext cx="224859"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498" name="Straight Arrow Connector 1497">
              <a:extLst>
                <a:ext uri="{FF2B5EF4-FFF2-40B4-BE49-F238E27FC236}">
                  <a16:creationId xmlns:a16="http://schemas.microsoft.com/office/drawing/2014/main" id="{00000000-0008-0000-0000-0000DA050000}"/>
                </a:ext>
              </a:extLst>
            </xdr:cNvPr>
            <xdr:cNvCxnSpPr/>
          </xdr:nvCxnSpPr>
          <xdr:spPr>
            <a:xfrm rot="5400000" flipH="1" flipV="1">
              <a:off x="4813219" y="57909134"/>
              <a:ext cx="177161"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xnSp macro="">
          <xdr:nvCxnSpPr>
            <xdr:cNvPr id="1500" name="Straight Arrow Connector 1499">
              <a:extLst>
                <a:ext uri="{FF2B5EF4-FFF2-40B4-BE49-F238E27FC236}">
                  <a16:creationId xmlns:a16="http://schemas.microsoft.com/office/drawing/2014/main" id="{00000000-0008-0000-0000-0000DC050000}"/>
                </a:ext>
              </a:extLst>
            </xdr:cNvPr>
            <xdr:cNvCxnSpPr/>
          </xdr:nvCxnSpPr>
          <xdr:spPr>
            <a:xfrm rot="5400000" flipH="1" flipV="1">
              <a:off x="4951481" y="57885286"/>
              <a:ext cx="143092" cy="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grpSp>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a:off x="3987660" y="61936205"/>
            <a:ext cx="1135738" cy="549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Pressure Diagram</a:t>
            </a:r>
          </a:p>
        </xdr:txBody>
      </xdr:sp>
      <xdr:sp macro="" textlink="">
        <xdr:nvSpPr>
          <xdr:cNvPr id="1504" name="Rectangle 1503">
            <a:extLst>
              <a:ext uri="{FF2B5EF4-FFF2-40B4-BE49-F238E27FC236}">
                <a16:creationId xmlns:a16="http://schemas.microsoft.com/office/drawing/2014/main" id="{00000000-0008-0000-0000-0000E0050000}"/>
              </a:ext>
            </a:extLst>
          </xdr:cNvPr>
          <xdr:cNvSpPr/>
        </xdr:nvSpPr>
        <xdr:spPr>
          <a:xfrm>
            <a:off x="3333750" y="59502675"/>
            <a:ext cx="2076450" cy="30384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twoCellAnchor>
    <xdr:from>
      <xdr:col>5</xdr:col>
      <xdr:colOff>247650</xdr:colOff>
      <xdr:row>385</xdr:row>
      <xdr:rowOff>19050</xdr:rowOff>
    </xdr:from>
    <xdr:to>
      <xdr:col>8</xdr:col>
      <xdr:colOff>238125</xdr:colOff>
      <xdr:row>398</xdr:row>
      <xdr:rowOff>95250</xdr:rowOff>
    </xdr:to>
    <xdr:grpSp>
      <xdr:nvGrpSpPr>
        <xdr:cNvPr id="3248" name="Group 1505">
          <a:extLst>
            <a:ext uri="{FF2B5EF4-FFF2-40B4-BE49-F238E27FC236}">
              <a16:creationId xmlns:a16="http://schemas.microsoft.com/office/drawing/2014/main" id="{00000000-0008-0000-0000-0000B00C0000}"/>
            </a:ext>
          </a:extLst>
        </xdr:cNvPr>
        <xdr:cNvGrpSpPr>
          <a:grpSpLocks/>
        </xdr:cNvGrpSpPr>
      </xdr:nvGrpSpPr>
      <xdr:grpSpPr bwMode="auto">
        <a:xfrm>
          <a:off x="3371850" y="76047600"/>
          <a:ext cx="1819275" cy="2552700"/>
          <a:chOff x="3299222" y="55464075"/>
          <a:chExt cx="2060971" cy="3669505"/>
        </a:xfrm>
      </xdr:grpSpPr>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a:off x="3925067" y="58531124"/>
            <a:ext cx="114378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Pressure Diagram</a:t>
            </a:r>
          </a:p>
        </xdr:txBody>
      </xdr:sp>
      <xdr:grpSp>
        <xdr:nvGrpSpPr>
          <xdr:cNvPr id="3478" name="Group 1540">
            <a:extLst>
              <a:ext uri="{FF2B5EF4-FFF2-40B4-BE49-F238E27FC236}">
                <a16:creationId xmlns:a16="http://schemas.microsoft.com/office/drawing/2014/main" id="{00000000-0008-0000-0000-0000960D0000}"/>
              </a:ext>
            </a:extLst>
          </xdr:cNvPr>
          <xdr:cNvGrpSpPr>
            <a:grpSpLocks/>
          </xdr:cNvGrpSpPr>
        </xdr:nvGrpSpPr>
        <xdr:grpSpPr bwMode="auto">
          <a:xfrm>
            <a:off x="3423996" y="55541071"/>
            <a:ext cx="1748074" cy="1780381"/>
            <a:chOff x="3423999" y="55245794"/>
            <a:chExt cx="1698527" cy="2107796"/>
          </a:xfrm>
        </xdr:grpSpPr>
        <xdr:grpSp>
          <xdr:nvGrpSpPr>
            <xdr:cNvPr id="3502" name="Group 1493">
              <a:extLst>
                <a:ext uri="{FF2B5EF4-FFF2-40B4-BE49-F238E27FC236}">
                  <a16:creationId xmlns:a16="http://schemas.microsoft.com/office/drawing/2014/main" id="{00000000-0008-0000-0000-0000AE0D0000}"/>
                </a:ext>
              </a:extLst>
            </xdr:cNvPr>
            <xdr:cNvGrpSpPr>
              <a:grpSpLocks/>
            </xdr:cNvGrpSpPr>
          </xdr:nvGrpSpPr>
          <xdr:grpSpPr bwMode="auto">
            <a:xfrm>
              <a:off x="3837147" y="56304860"/>
              <a:ext cx="277466" cy="1027018"/>
              <a:chOff x="3278623" y="57702654"/>
              <a:chExt cx="277910" cy="1027018"/>
            </a:xfrm>
          </xdr:grpSpPr>
          <xdr:cxnSp macro="">
            <xdr:nvCxnSpPr>
              <xdr:cNvPr id="1568" name="Straight Connector 1567">
                <a:extLst>
                  <a:ext uri="{FF2B5EF4-FFF2-40B4-BE49-F238E27FC236}">
                    <a16:creationId xmlns:a16="http://schemas.microsoft.com/office/drawing/2014/main" id="{00000000-0008-0000-0000-000020060000}"/>
                  </a:ext>
                </a:extLst>
              </xdr:cNvPr>
              <xdr:cNvCxnSpPr/>
            </xdr:nvCxnSpPr>
            <xdr:spPr>
              <a:xfrm rot="5400000">
                <a:off x="3035447" y="58246399"/>
                <a:ext cx="697038"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a:off x="3320958" y="57703357"/>
                <a:ext cx="241532" cy="38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a:off x="3278953" y="58546287"/>
                <a:ext cx="241532" cy="194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grpSp>
        <xdr:grpSp>
          <xdr:nvGrpSpPr>
            <xdr:cNvPr id="3503" name="Group 1496">
              <a:extLst>
                <a:ext uri="{FF2B5EF4-FFF2-40B4-BE49-F238E27FC236}">
                  <a16:creationId xmlns:a16="http://schemas.microsoft.com/office/drawing/2014/main" id="{00000000-0008-0000-0000-0000AF0D0000}"/>
                </a:ext>
              </a:extLst>
            </xdr:cNvPr>
            <xdr:cNvGrpSpPr>
              <a:grpSpLocks/>
            </xdr:cNvGrpSpPr>
          </xdr:nvGrpSpPr>
          <xdr:grpSpPr bwMode="auto">
            <a:xfrm>
              <a:off x="4380725" y="56289452"/>
              <a:ext cx="247683" cy="1064138"/>
              <a:chOff x="3855092" y="57687245"/>
              <a:chExt cx="248079" cy="1064138"/>
            </a:xfrm>
          </xdr:grpSpPr>
          <xdr:cxnSp macro="">
            <xdr:nvCxnSpPr>
              <xdr:cNvPr id="1565" name="Straight Connector 1564">
                <a:extLst>
                  <a:ext uri="{FF2B5EF4-FFF2-40B4-BE49-F238E27FC236}">
                    <a16:creationId xmlns:a16="http://schemas.microsoft.com/office/drawing/2014/main" id="{00000000-0008-0000-0000-00001D060000}"/>
                  </a:ext>
                </a:extLst>
              </xdr:cNvPr>
              <xdr:cNvCxnSpPr/>
            </xdr:nvCxnSpPr>
            <xdr:spPr>
              <a:xfrm rot="5400000">
                <a:off x="3624040" y="58262609"/>
                <a:ext cx="697039"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a:off x="3857045" y="57687146"/>
                <a:ext cx="241531" cy="194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a:off x="3867546" y="58562497"/>
                <a:ext cx="241531" cy="194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grpSp>
        <xdr:cxnSp macro="">
          <xdr:nvCxnSpPr>
            <xdr:cNvPr id="1555" name="Straight Connector 1554">
              <a:extLst>
                <a:ext uri="{FF2B5EF4-FFF2-40B4-BE49-F238E27FC236}">
                  <a16:creationId xmlns:a16="http://schemas.microsoft.com/office/drawing/2014/main" id="{00000000-0008-0000-0000-000013060000}"/>
                </a:ext>
              </a:extLst>
            </xdr:cNvPr>
            <xdr:cNvCxnSpPr/>
          </xdr:nvCxnSpPr>
          <xdr:spPr>
            <a:xfrm rot="5400000" flipH="1" flipV="1">
              <a:off x="4986914" y="56937761"/>
              <a:ext cx="25936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56" name="Straight Connector 1555">
              <a:extLst>
                <a:ext uri="{FF2B5EF4-FFF2-40B4-BE49-F238E27FC236}">
                  <a16:creationId xmlns:a16="http://schemas.microsoft.com/office/drawing/2014/main" id="{00000000-0008-0000-0000-000014060000}"/>
                </a:ext>
              </a:extLst>
            </xdr:cNvPr>
            <xdr:cNvCxnSpPr/>
          </xdr:nvCxnSpPr>
          <xdr:spPr>
            <a:xfrm rot="10800000">
              <a:off x="3952806" y="56629767"/>
              <a:ext cx="1174274" cy="17831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57" name="Straight Connector 1556">
              <a:extLst>
                <a:ext uri="{FF2B5EF4-FFF2-40B4-BE49-F238E27FC236}">
                  <a16:creationId xmlns:a16="http://schemas.microsoft.com/office/drawing/2014/main" id="{00000000-0008-0000-0000-000015060000}"/>
                </a:ext>
              </a:extLst>
            </xdr:cNvPr>
            <xdr:cNvCxnSpPr/>
          </xdr:nvCxnSpPr>
          <xdr:spPr>
            <a:xfrm rot="16200000" flipV="1">
              <a:off x="3241044" y="55912281"/>
              <a:ext cx="1150924" cy="2516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58" name="Straight Connector 1557">
              <a:extLst>
                <a:ext uri="{FF2B5EF4-FFF2-40B4-BE49-F238E27FC236}">
                  <a16:creationId xmlns:a16="http://schemas.microsoft.com/office/drawing/2014/main" id="{00000000-0008-0000-0000-000016060000}"/>
                </a:ext>
              </a:extLst>
            </xdr:cNvPr>
            <xdr:cNvCxnSpPr/>
          </xdr:nvCxnSpPr>
          <xdr:spPr>
            <a:xfrm rot="10800000">
              <a:off x="3512454" y="55462633"/>
              <a:ext cx="1782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59" name="Straight Connector 1558">
              <a:extLst>
                <a:ext uri="{FF2B5EF4-FFF2-40B4-BE49-F238E27FC236}">
                  <a16:creationId xmlns:a16="http://schemas.microsoft.com/office/drawing/2014/main" id="{00000000-0008-0000-0000-000017060000}"/>
                </a:ext>
              </a:extLst>
            </xdr:cNvPr>
            <xdr:cNvCxnSpPr/>
          </xdr:nvCxnSpPr>
          <xdr:spPr>
            <a:xfrm rot="5400000">
              <a:off x="3082883" y="55681471"/>
              <a:ext cx="85914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60" name="Straight Connector 1559">
              <a:extLst>
                <a:ext uri="{FF2B5EF4-FFF2-40B4-BE49-F238E27FC236}">
                  <a16:creationId xmlns:a16="http://schemas.microsoft.com/office/drawing/2014/main" id="{00000000-0008-0000-0000-000018060000}"/>
                </a:ext>
              </a:extLst>
            </xdr:cNvPr>
            <xdr:cNvCxnSpPr/>
          </xdr:nvCxnSpPr>
          <xdr:spPr>
            <a:xfrm>
              <a:off x="3522938" y="56143461"/>
              <a:ext cx="94361" cy="486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61" name="Straight Connector 1560">
              <a:extLst>
                <a:ext uri="{FF2B5EF4-FFF2-40B4-BE49-F238E27FC236}">
                  <a16:creationId xmlns:a16="http://schemas.microsoft.com/office/drawing/2014/main" id="{00000000-0008-0000-0000-000019060000}"/>
                </a:ext>
              </a:extLst>
            </xdr:cNvPr>
            <xdr:cNvCxnSpPr/>
          </xdr:nvCxnSpPr>
          <xdr:spPr>
            <a:xfrm rot="10800000" flipV="1">
              <a:off x="3439062" y="56208302"/>
              <a:ext cx="188723" cy="324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62" name="Straight Connector 1561">
              <a:extLst>
                <a:ext uri="{FF2B5EF4-FFF2-40B4-BE49-F238E27FC236}">
                  <a16:creationId xmlns:a16="http://schemas.microsoft.com/office/drawing/2014/main" id="{00000000-0008-0000-0000-00001A060000}"/>
                </a:ext>
              </a:extLst>
            </xdr:cNvPr>
            <xdr:cNvCxnSpPr/>
          </xdr:nvCxnSpPr>
          <xdr:spPr>
            <a:xfrm>
              <a:off x="3428577" y="56273143"/>
              <a:ext cx="94361" cy="324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63" name="Straight Connector 1562">
              <a:extLst>
                <a:ext uri="{FF2B5EF4-FFF2-40B4-BE49-F238E27FC236}">
                  <a16:creationId xmlns:a16="http://schemas.microsoft.com/office/drawing/2014/main" id="{00000000-0008-0000-0000-00001B060000}"/>
                </a:ext>
              </a:extLst>
            </xdr:cNvPr>
            <xdr:cNvCxnSpPr/>
          </xdr:nvCxnSpPr>
          <xdr:spPr>
            <a:xfrm rot="5400000">
              <a:off x="3045703" y="56799975"/>
              <a:ext cx="89156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64" name="Straight Connector 1563">
              <a:extLst>
                <a:ext uri="{FF2B5EF4-FFF2-40B4-BE49-F238E27FC236}">
                  <a16:creationId xmlns:a16="http://schemas.microsoft.com/office/drawing/2014/main" id="{00000000-0008-0000-0000-00001C060000}"/>
                </a:ext>
              </a:extLst>
            </xdr:cNvPr>
            <xdr:cNvCxnSpPr/>
          </xdr:nvCxnSpPr>
          <xdr:spPr>
            <a:xfrm rot="10800000">
              <a:off x="3501969" y="57051233"/>
              <a:ext cx="1625111" cy="0"/>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3479" name="Group 1529">
            <a:extLst>
              <a:ext uri="{FF2B5EF4-FFF2-40B4-BE49-F238E27FC236}">
                <a16:creationId xmlns:a16="http://schemas.microsoft.com/office/drawing/2014/main" id="{00000000-0008-0000-0000-0000970D0000}"/>
              </a:ext>
            </a:extLst>
          </xdr:cNvPr>
          <xdr:cNvGrpSpPr>
            <a:grpSpLocks/>
          </xdr:cNvGrpSpPr>
        </xdr:nvGrpSpPr>
        <xdr:grpSpPr bwMode="auto">
          <a:xfrm>
            <a:off x="3920062" y="57800081"/>
            <a:ext cx="1190577" cy="447277"/>
            <a:chOff x="3910410" y="57810797"/>
            <a:chExt cx="1185465" cy="447277"/>
          </a:xfrm>
        </xdr:grpSpPr>
        <xdr:cxnSp macro="">
          <xdr:nvCxnSpPr>
            <xdr:cNvPr id="1528" name="Straight Connector 1527">
              <a:extLst>
                <a:ext uri="{FF2B5EF4-FFF2-40B4-BE49-F238E27FC236}">
                  <a16:creationId xmlns:a16="http://schemas.microsoft.com/office/drawing/2014/main" id="{00000000-0008-0000-0000-0000F8050000}"/>
                </a:ext>
              </a:extLst>
            </xdr:cNvPr>
            <xdr:cNvCxnSpPr/>
          </xdr:nvCxnSpPr>
          <xdr:spPr>
            <a:xfrm>
              <a:off x="3915393" y="57816155"/>
              <a:ext cx="11818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40" name="Straight Connector 1539">
              <a:extLst>
                <a:ext uri="{FF2B5EF4-FFF2-40B4-BE49-F238E27FC236}">
                  <a16:creationId xmlns:a16="http://schemas.microsoft.com/office/drawing/2014/main" id="{00000000-0008-0000-0000-000004060000}"/>
                </a:ext>
              </a:extLst>
            </xdr:cNvPr>
            <xdr:cNvCxnSpPr/>
          </xdr:nvCxnSpPr>
          <xdr:spPr>
            <a:xfrm rot="5400000">
              <a:off x="5030256" y="57886090"/>
              <a:ext cx="123230" cy="10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42" name="Straight Connector 1541">
              <a:extLst>
                <a:ext uri="{FF2B5EF4-FFF2-40B4-BE49-F238E27FC236}">
                  <a16:creationId xmlns:a16="http://schemas.microsoft.com/office/drawing/2014/main" id="{00000000-0008-0000-0000-000006060000}"/>
                </a:ext>
              </a:extLst>
            </xdr:cNvPr>
            <xdr:cNvCxnSpPr/>
          </xdr:nvCxnSpPr>
          <xdr:spPr>
            <a:xfrm rot="10800000" flipV="1">
              <a:off x="3915393" y="57953077"/>
              <a:ext cx="1171106" cy="30122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43" name="Straight Connector 1542">
              <a:extLst>
                <a:ext uri="{FF2B5EF4-FFF2-40B4-BE49-F238E27FC236}">
                  <a16:creationId xmlns:a16="http://schemas.microsoft.com/office/drawing/2014/main" id="{00000000-0008-0000-0000-000007060000}"/>
                </a:ext>
              </a:extLst>
            </xdr:cNvPr>
            <xdr:cNvCxnSpPr/>
          </xdr:nvCxnSpPr>
          <xdr:spPr>
            <a:xfrm rot="5400000">
              <a:off x="3696318" y="58035230"/>
              <a:ext cx="4381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44" name="Straight Arrow Connector 1543">
              <a:extLst>
                <a:ext uri="{FF2B5EF4-FFF2-40B4-BE49-F238E27FC236}">
                  <a16:creationId xmlns:a16="http://schemas.microsoft.com/office/drawing/2014/main" id="{00000000-0008-0000-0000-000008060000}"/>
                </a:ext>
              </a:extLst>
            </xdr:cNvPr>
            <xdr:cNvCxnSpPr/>
          </xdr:nvCxnSpPr>
          <xdr:spPr>
            <a:xfrm rot="5400000" flipH="1" flipV="1">
              <a:off x="3795963" y="58021538"/>
              <a:ext cx="41076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45" name="Straight Arrow Connector 1544">
              <a:extLst>
                <a:ext uri="{FF2B5EF4-FFF2-40B4-BE49-F238E27FC236}">
                  <a16:creationId xmlns:a16="http://schemas.microsoft.com/office/drawing/2014/main" id="{00000000-0008-0000-0000-000009060000}"/>
                </a:ext>
              </a:extLst>
            </xdr:cNvPr>
            <xdr:cNvCxnSpPr/>
          </xdr:nvCxnSpPr>
          <xdr:spPr>
            <a:xfrm rot="5400000" flipH="1" flipV="1">
              <a:off x="4098795" y="57987308"/>
              <a:ext cx="34230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46" name="Straight Arrow Connector 1545">
              <a:extLst>
                <a:ext uri="{FF2B5EF4-FFF2-40B4-BE49-F238E27FC236}">
                  <a16:creationId xmlns:a16="http://schemas.microsoft.com/office/drawing/2014/main" id="{00000000-0008-0000-0000-00000A060000}"/>
                </a:ext>
              </a:extLst>
            </xdr:cNvPr>
            <xdr:cNvCxnSpPr/>
          </xdr:nvCxnSpPr>
          <xdr:spPr>
            <a:xfrm rot="5400000" flipH="1" flipV="1">
              <a:off x="3950803" y="57995627"/>
              <a:ext cx="369689" cy="107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47" name="Straight Arrow Connector 1546">
              <a:extLst>
                <a:ext uri="{FF2B5EF4-FFF2-40B4-BE49-F238E27FC236}">
                  <a16:creationId xmlns:a16="http://schemas.microsoft.com/office/drawing/2014/main" id="{00000000-0008-0000-0000-00000B060000}"/>
                </a:ext>
              </a:extLst>
            </xdr:cNvPr>
            <xdr:cNvCxnSpPr/>
          </xdr:nvCxnSpPr>
          <xdr:spPr>
            <a:xfrm rot="5400000" flipH="1" flipV="1">
              <a:off x="4408474" y="57959923"/>
              <a:ext cx="2601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48" name="Straight Arrow Connector 1547">
              <a:extLst>
                <a:ext uri="{FF2B5EF4-FFF2-40B4-BE49-F238E27FC236}">
                  <a16:creationId xmlns:a16="http://schemas.microsoft.com/office/drawing/2014/main" id="{00000000-0008-0000-0000-00000C060000}"/>
                </a:ext>
              </a:extLst>
            </xdr:cNvPr>
            <xdr:cNvCxnSpPr/>
          </xdr:nvCxnSpPr>
          <xdr:spPr>
            <a:xfrm rot="5400000" flipH="1" flipV="1">
              <a:off x="4248263" y="57966769"/>
              <a:ext cx="30122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49" name="Straight Arrow Connector 1548">
              <a:extLst>
                <a:ext uri="{FF2B5EF4-FFF2-40B4-BE49-F238E27FC236}">
                  <a16:creationId xmlns:a16="http://schemas.microsoft.com/office/drawing/2014/main" id="{00000000-0008-0000-0000-00000D060000}"/>
                </a:ext>
              </a:extLst>
            </xdr:cNvPr>
            <xdr:cNvCxnSpPr/>
          </xdr:nvCxnSpPr>
          <xdr:spPr>
            <a:xfrm rot="5400000" flipH="1" flipV="1">
              <a:off x="4540351" y="57946231"/>
              <a:ext cx="2327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50" name="Straight Arrow Connector 1549">
              <a:extLst>
                <a:ext uri="{FF2B5EF4-FFF2-40B4-BE49-F238E27FC236}">
                  <a16:creationId xmlns:a16="http://schemas.microsoft.com/office/drawing/2014/main" id="{00000000-0008-0000-0000-00000E060000}"/>
                </a:ext>
              </a:extLst>
            </xdr:cNvPr>
            <xdr:cNvCxnSpPr/>
          </xdr:nvCxnSpPr>
          <xdr:spPr>
            <a:xfrm rot="5400000" flipH="1" flipV="1">
              <a:off x="4658536" y="57932539"/>
              <a:ext cx="2327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51" name="Straight Arrow Connector 1550">
              <a:extLst>
                <a:ext uri="{FF2B5EF4-FFF2-40B4-BE49-F238E27FC236}">
                  <a16:creationId xmlns:a16="http://schemas.microsoft.com/office/drawing/2014/main" id="{00000000-0008-0000-0000-00000F060000}"/>
                </a:ext>
              </a:extLst>
            </xdr:cNvPr>
            <xdr:cNvCxnSpPr/>
          </xdr:nvCxnSpPr>
          <xdr:spPr>
            <a:xfrm rot="5400000" flipH="1" flipV="1">
              <a:off x="4825594" y="57905155"/>
              <a:ext cx="17799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552" name="Straight Arrow Connector 1551">
              <a:extLst>
                <a:ext uri="{FF2B5EF4-FFF2-40B4-BE49-F238E27FC236}">
                  <a16:creationId xmlns:a16="http://schemas.microsoft.com/office/drawing/2014/main" id="{00000000-0008-0000-0000-000010060000}"/>
                </a:ext>
              </a:extLst>
            </xdr:cNvPr>
            <xdr:cNvCxnSpPr/>
          </xdr:nvCxnSpPr>
          <xdr:spPr>
            <a:xfrm rot="5400000" flipH="1" flipV="1">
              <a:off x="4964318" y="57884616"/>
              <a:ext cx="13692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grpSp>
        <xdr:nvGrpSpPr>
          <xdr:cNvPr id="3480" name="Group 1530">
            <a:extLst>
              <a:ext uri="{FF2B5EF4-FFF2-40B4-BE49-F238E27FC236}">
                <a16:creationId xmlns:a16="http://schemas.microsoft.com/office/drawing/2014/main" id="{00000000-0008-0000-0000-0000980D0000}"/>
              </a:ext>
            </a:extLst>
          </xdr:cNvPr>
          <xdr:cNvGrpSpPr>
            <a:grpSpLocks/>
          </xdr:cNvGrpSpPr>
        </xdr:nvGrpSpPr>
        <xdr:grpSpPr bwMode="auto">
          <a:xfrm>
            <a:off x="3816956" y="57444080"/>
            <a:ext cx="240471" cy="1064137"/>
            <a:chOff x="3278623" y="57665535"/>
            <a:chExt cx="240855" cy="1064137"/>
          </a:xfrm>
        </xdr:grpSpPr>
        <xdr:cxnSp macro="">
          <xdr:nvCxnSpPr>
            <xdr:cNvPr id="1522" name="Straight Connector 1521">
              <a:extLst>
                <a:ext uri="{FF2B5EF4-FFF2-40B4-BE49-F238E27FC236}">
                  <a16:creationId xmlns:a16="http://schemas.microsoft.com/office/drawing/2014/main" id="{00000000-0008-0000-0000-0000F2050000}"/>
                </a:ext>
              </a:extLst>
            </xdr:cNvPr>
            <xdr:cNvCxnSpPr/>
          </xdr:nvCxnSpPr>
          <xdr:spPr>
            <a:xfrm rot="5400000">
              <a:off x="3044601" y="58245969"/>
              <a:ext cx="684610"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a:off x="3278830" y="57670897"/>
              <a:ext cx="237769" cy="191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a:off x="3278830" y="58533505"/>
              <a:ext cx="237769" cy="191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a:t>
              </a:r>
            </a:p>
          </xdr:txBody>
        </xdr:sp>
      </xdr:grpSp>
      <xdr:grpSp>
        <xdr:nvGrpSpPr>
          <xdr:cNvPr id="3481" name="Group 1534">
            <a:extLst>
              <a:ext uri="{FF2B5EF4-FFF2-40B4-BE49-F238E27FC236}">
                <a16:creationId xmlns:a16="http://schemas.microsoft.com/office/drawing/2014/main" id="{00000000-0008-0000-0000-0000990D0000}"/>
              </a:ext>
            </a:extLst>
          </xdr:cNvPr>
          <xdr:cNvGrpSpPr>
            <a:grpSpLocks/>
          </xdr:cNvGrpSpPr>
        </xdr:nvGrpSpPr>
        <xdr:grpSpPr bwMode="auto">
          <a:xfrm>
            <a:off x="4360524" y="57465791"/>
            <a:ext cx="247683" cy="1064138"/>
            <a:chOff x="3855092" y="57687245"/>
            <a:chExt cx="248079" cy="1064138"/>
          </a:xfrm>
        </xdr:grpSpPr>
        <xdr:cxnSp macro="">
          <xdr:nvCxnSpPr>
            <xdr:cNvPr id="1516" name="Straight Connector 1515">
              <a:extLst>
                <a:ext uri="{FF2B5EF4-FFF2-40B4-BE49-F238E27FC236}">
                  <a16:creationId xmlns:a16="http://schemas.microsoft.com/office/drawing/2014/main" id="{00000000-0008-0000-0000-0000EC050000}"/>
                </a:ext>
              </a:extLst>
            </xdr:cNvPr>
            <xdr:cNvCxnSpPr/>
          </xdr:nvCxnSpPr>
          <xdr:spPr>
            <a:xfrm rot="5400000">
              <a:off x="3622422" y="58254254"/>
              <a:ext cx="684609" cy="1080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a:off x="3851245" y="57684587"/>
              <a:ext cx="237768" cy="191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a:off x="3862053" y="58560887"/>
              <a:ext cx="237768" cy="191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2</a:t>
              </a:r>
            </a:p>
          </xdr:txBody>
        </xdr:sp>
      </xdr:grpSp>
      <xdr:sp macro="" textlink="">
        <xdr:nvSpPr>
          <xdr:cNvPr id="1515" name="Rectangle 1514">
            <a:extLst>
              <a:ext uri="{FF2B5EF4-FFF2-40B4-BE49-F238E27FC236}">
                <a16:creationId xmlns:a16="http://schemas.microsoft.com/office/drawing/2014/main" id="{00000000-0008-0000-0000-0000EB050000}"/>
              </a:ext>
            </a:extLst>
          </xdr:cNvPr>
          <xdr:cNvSpPr/>
        </xdr:nvSpPr>
        <xdr:spPr>
          <a:xfrm>
            <a:off x="3299222" y="55464075"/>
            <a:ext cx="2060971" cy="36695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twoCellAnchor>
    <xdr:from>
      <xdr:col>5</xdr:col>
      <xdr:colOff>219075</xdr:colOff>
      <xdr:row>404</xdr:row>
      <xdr:rowOff>0</xdr:rowOff>
    </xdr:from>
    <xdr:to>
      <xdr:col>8</xdr:col>
      <xdr:colOff>247650</xdr:colOff>
      <xdr:row>414</xdr:row>
      <xdr:rowOff>161925</xdr:rowOff>
    </xdr:to>
    <xdr:grpSp>
      <xdr:nvGrpSpPr>
        <xdr:cNvPr id="3249" name="Group 1571">
          <a:extLst>
            <a:ext uri="{FF2B5EF4-FFF2-40B4-BE49-F238E27FC236}">
              <a16:creationId xmlns:a16="http://schemas.microsoft.com/office/drawing/2014/main" id="{00000000-0008-0000-0000-0000B10C0000}"/>
            </a:ext>
          </a:extLst>
        </xdr:cNvPr>
        <xdr:cNvGrpSpPr>
          <a:grpSpLocks/>
        </xdr:cNvGrpSpPr>
      </xdr:nvGrpSpPr>
      <xdr:grpSpPr bwMode="auto">
        <a:xfrm>
          <a:off x="3343275" y="79648050"/>
          <a:ext cx="1857375" cy="2085975"/>
          <a:chOff x="3333750" y="59502675"/>
          <a:chExt cx="2076450" cy="3038475"/>
        </a:xfrm>
      </xdr:grpSpPr>
      <xdr:grpSp>
        <xdr:nvGrpSpPr>
          <xdr:cNvPr id="3450" name="Group 1304">
            <a:extLst>
              <a:ext uri="{FF2B5EF4-FFF2-40B4-BE49-F238E27FC236}">
                <a16:creationId xmlns:a16="http://schemas.microsoft.com/office/drawing/2014/main" id="{00000000-0008-0000-0000-00007A0D0000}"/>
              </a:ext>
            </a:extLst>
          </xdr:cNvPr>
          <xdr:cNvGrpSpPr>
            <a:grpSpLocks/>
          </xdr:cNvGrpSpPr>
        </xdr:nvGrpSpPr>
        <xdr:grpSpPr bwMode="auto">
          <a:xfrm flipH="1">
            <a:off x="3628777" y="59551119"/>
            <a:ext cx="1395257" cy="1680491"/>
            <a:chOff x="3423999" y="55245794"/>
            <a:chExt cx="1698527" cy="1989535"/>
          </a:xfrm>
        </xdr:grpSpPr>
        <xdr:cxnSp macro="">
          <xdr:nvCxnSpPr>
            <xdr:cNvPr id="1670" name="Straight Connector 1669">
              <a:extLst>
                <a:ext uri="{FF2B5EF4-FFF2-40B4-BE49-F238E27FC236}">
                  <a16:creationId xmlns:a16="http://schemas.microsoft.com/office/drawing/2014/main" id="{00000000-0008-0000-0000-000086060000}"/>
                </a:ext>
              </a:extLst>
            </xdr:cNvPr>
            <xdr:cNvCxnSpPr/>
          </xdr:nvCxnSpPr>
          <xdr:spPr>
            <a:xfrm rot="5400000" flipH="1" flipV="1">
              <a:off x="4972614" y="56931309"/>
              <a:ext cx="279239" cy="129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1" name="Straight Connector 1670">
              <a:extLst>
                <a:ext uri="{FF2B5EF4-FFF2-40B4-BE49-F238E27FC236}">
                  <a16:creationId xmlns:a16="http://schemas.microsoft.com/office/drawing/2014/main" id="{00000000-0008-0000-0000-000087060000}"/>
                </a:ext>
              </a:extLst>
            </xdr:cNvPr>
            <xdr:cNvCxnSpPr/>
          </xdr:nvCxnSpPr>
          <xdr:spPr>
            <a:xfrm rot="10800000">
              <a:off x="3939083" y="56617487"/>
              <a:ext cx="1179632" cy="19711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2" name="Straight Connector 1671">
              <a:extLst>
                <a:ext uri="{FF2B5EF4-FFF2-40B4-BE49-F238E27FC236}">
                  <a16:creationId xmlns:a16="http://schemas.microsoft.com/office/drawing/2014/main" id="{00000000-0008-0000-0000-000088060000}"/>
                </a:ext>
              </a:extLst>
            </xdr:cNvPr>
            <xdr:cNvCxnSpPr/>
          </xdr:nvCxnSpPr>
          <xdr:spPr>
            <a:xfrm rot="16200000" flipV="1">
              <a:off x="3228068" y="55903008"/>
              <a:ext cx="1149807" cy="24629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3" name="Straight Connector 1672">
              <a:extLst>
                <a:ext uri="{FF2B5EF4-FFF2-40B4-BE49-F238E27FC236}">
                  <a16:creationId xmlns:a16="http://schemas.microsoft.com/office/drawing/2014/main" id="{00000000-0008-0000-0000-000089060000}"/>
                </a:ext>
              </a:extLst>
            </xdr:cNvPr>
            <xdr:cNvCxnSpPr/>
          </xdr:nvCxnSpPr>
          <xdr:spPr>
            <a:xfrm rot="10800000">
              <a:off x="3511305" y="55451254"/>
              <a:ext cx="16851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4" name="Straight Connector 1673">
              <a:extLst>
                <a:ext uri="{FF2B5EF4-FFF2-40B4-BE49-F238E27FC236}">
                  <a16:creationId xmlns:a16="http://schemas.microsoft.com/office/drawing/2014/main" id="{00000000-0008-0000-0000-00008A060000}"/>
                </a:ext>
              </a:extLst>
            </xdr:cNvPr>
            <xdr:cNvCxnSpPr/>
          </xdr:nvCxnSpPr>
          <xdr:spPr>
            <a:xfrm rot="5400000">
              <a:off x="3063058" y="55673003"/>
              <a:ext cx="8705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5" name="Straight Connector 1674">
              <a:extLst>
                <a:ext uri="{FF2B5EF4-FFF2-40B4-BE49-F238E27FC236}">
                  <a16:creationId xmlns:a16="http://schemas.microsoft.com/office/drawing/2014/main" id="{00000000-0008-0000-0000-00008B060000}"/>
                </a:ext>
              </a:extLst>
            </xdr:cNvPr>
            <xdr:cNvCxnSpPr/>
          </xdr:nvCxnSpPr>
          <xdr:spPr>
            <a:xfrm>
              <a:off x="3511305" y="56141138"/>
              <a:ext cx="103704" cy="4927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6" name="Straight Connector 1675">
              <a:extLst>
                <a:ext uri="{FF2B5EF4-FFF2-40B4-BE49-F238E27FC236}">
                  <a16:creationId xmlns:a16="http://schemas.microsoft.com/office/drawing/2014/main" id="{00000000-0008-0000-0000-00008C060000}"/>
                </a:ext>
              </a:extLst>
            </xdr:cNvPr>
            <xdr:cNvCxnSpPr/>
          </xdr:nvCxnSpPr>
          <xdr:spPr>
            <a:xfrm rot="10800000" flipV="1">
              <a:off x="3420564" y="56190416"/>
              <a:ext cx="194445" cy="4927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7" name="Straight Connector 1676">
              <a:extLst>
                <a:ext uri="{FF2B5EF4-FFF2-40B4-BE49-F238E27FC236}">
                  <a16:creationId xmlns:a16="http://schemas.microsoft.com/office/drawing/2014/main" id="{00000000-0008-0000-0000-00008D060000}"/>
                </a:ext>
              </a:extLst>
            </xdr:cNvPr>
            <xdr:cNvCxnSpPr/>
          </xdr:nvCxnSpPr>
          <xdr:spPr>
            <a:xfrm>
              <a:off x="3420564" y="56256119"/>
              <a:ext cx="90741" cy="4927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8" name="Straight Connector 1677">
              <a:extLst>
                <a:ext uri="{FF2B5EF4-FFF2-40B4-BE49-F238E27FC236}">
                  <a16:creationId xmlns:a16="http://schemas.microsoft.com/office/drawing/2014/main" id="{00000000-0008-0000-0000-00008E060000}"/>
                </a:ext>
              </a:extLst>
            </xdr:cNvPr>
            <xdr:cNvCxnSpPr/>
          </xdr:nvCxnSpPr>
          <xdr:spPr>
            <a:xfrm rot="5400000">
              <a:off x="3041882" y="56798171"/>
              <a:ext cx="88699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79" name="Straight Connector 1678">
              <a:extLst>
                <a:ext uri="{FF2B5EF4-FFF2-40B4-BE49-F238E27FC236}">
                  <a16:creationId xmlns:a16="http://schemas.microsoft.com/office/drawing/2014/main" id="{00000000-0008-0000-0000-00008F060000}"/>
                </a:ext>
              </a:extLst>
            </xdr:cNvPr>
            <xdr:cNvCxnSpPr/>
          </xdr:nvCxnSpPr>
          <xdr:spPr>
            <a:xfrm rot="10800000">
              <a:off x="3498342" y="57060984"/>
              <a:ext cx="1620373" cy="0"/>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3451" name="Group 1473">
            <a:extLst>
              <a:ext uri="{FF2B5EF4-FFF2-40B4-BE49-F238E27FC236}">
                <a16:creationId xmlns:a16="http://schemas.microsoft.com/office/drawing/2014/main" id="{00000000-0008-0000-0000-00007B0D0000}"/>
              </a:ext>
            </a:extLst>
          </xdr:cNvPr>
          <xdr:cNvGrpSpPr>
            <a:grpSpLocks/>
          </xdr:cNvGrpSpPr>
        </xdr:nvGrpSpPr>
        <xdr:grpSpPr bwMode="auto">
          <a:xfrm>
            <a:off x="3648075" y="61222102"/>
            <a:ext cx="1009650" cy="902440"/>
            <a:chOff x="3910410" y="57810797"/>
            <a:chExt cx="1185465" cy="447277"/>
          </a:xfrm>
        </xdr:grpSpPr>
        <xdr:cxnSp macro="">
          <xdr:nvCxnSpPr>
            <xdr:cNvPr id="1577" name="Straight Connector 1576">
              <a:extLst>
                <a:ext uri="{FF2B5EF4-FFF2-40B4-BE49-F238E27FC236}">
                  <a16:creationId xmlns:a16="http://schemas.microsoft.com/office/drawing/2014/main" id="{00000000-0008-0000-0000-000029060000}"/>
                </a:ext>
              </a:extLst>
            </xdr:cNvPr>
            <xdr:cNvCxnSpPr/>
          </xdr:nvCxnSpPr>
          <xdr:spPr>
            <a:xfrm>
              <a:off x="3916432" y="57811286"/>
              <a:ext cx="117525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78" name="Straight Connector 1577">
              <a:extLst>
                <a:ext uri="{FF2B5EF4-FFF2-40B4-BE49-F238E27FC236}">
                  <a16:creationId xmlns:a16="http://schemas.microsoft.com/office/drawing/2014/main" id="{00000000-0008-0000-0000-00002A060000}"/>
                </a:ext>
              </a:extLst>
            </xdr:cNvPr>
            <xdr:cNvCxnSpPr/>
          </xdr:nvCxnSpPr>
          <xdr:spPr>
            <a:xfrm rot="5400000">
              <a:off x="5020111" y="57884115"/>
              <a:ext cx="130654" cy="1250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79" name="Straight Connector 1578">
              <a:extLst>
                <a:ext uri="{FF2B5EF4-FFF2-40B4-BE49-F238E27FC236}">
                  <a16:creationId xmlns:a16="http://schemas.microsoft.com/office/drawing/2014/main" id="{00000000-0008-0000-0000-00002B060000}"/>
                </a:ext>
              </a:extLst>
            </xdr:cNvPr>
            <xdr:cNvCxnSpPr/>
          </xdr:nvCxnSpPr>
          <xdr:spPr>
            <a:xfrm rot="10800000" flipV="1">
              <a:off x="3916432" y="57955694"/>
              <a:ext cx="1175257" cy="29569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80" name="Straight Connector 1579">
              <a:extLst>
                <a:ext uri="{FF2B5EF4-FFF2-40B4-BE49-F238E27FC236}">
                  <a16:creationId xmlns:a16="http://schemas.microsoft.com/office/drawing/2014/main" id="{00000000-0008-0000-0000-00002C060000}"/>
                </a:ext>
              </a:extLst>
            </xdr:cNvPr>
            <xdr:cNvCxnSpPr/>
          </xdr:nvCxnSpPr>
          <xdr:spPr>
            <a:xfrm rot="5400000">
              <a:off x="3696383" y="58038212"/>
              <a:ext cx="44009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53" name="Straight Arrow Connector 1652">
              <a:extLst>
                <a:ext uri="{FF2B5EF4-FFF2-40B4-BE49-F238E27FC236}">
                  <a16:creationId xmlns:a16="http://schemas.microsoft.com/office/drawing/2014/main" id="{00000000-0008-0000-0000-000075060000}"/>
                </a:ext>
              </a:extLst>
            </xdr:cNvPr>
            <xdr:cNvCxnSpPr/>
          </xdr:nvCxnSpPr>
          <xdr:spPr>
            <a:xfrm rot="5400000" flipH="1" flipV="1">
              <a:off x="3797655" y="58024459"/>
              <a:ext cx="41259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54" name="Straight Arrow Connector 1653">
              <a:extLst>
                <a:ext uri="{FF2B5EF4-FFF2-40B4-BE49-F238E27FC236}">
                  <a16:creationId xmlns:a16="http://schemas.microsoft.com/office/drawing/2014/main" id="{00000000-0008-0000-0000-000076060000}"/>
                </a:ext>
              </a:extLst>
            </xdr:cNvPr>
            <xdr:cNvCxnSpPr/>
          </xdr:nvCxnSpPr>
          <xdr:spPr>
            <a:xfrm rot="5400000" flipH="1" flipV="1">
              <a:off x="4094595" y="57990077"/>
              <a:ext cx="34382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1" name="Straight Arrow Connector 1660">
              <a:extLst>
                <a:ext uri="{FF2B5EF4-FFF2-40B4-BE49-F238E27FC236}">
                  <a16:creationId xmlns:a16="http://schemas.microsoft.com/office/drawing/2014/main" id="{00000000-0008-0000-0000-00007D060000}"/>
                </a:ext>
              </a:extLst>
            </xdr:cNvPr>
            <xdr:cNvCxnSpPr/>
          </xdr:nvCxnSpPr>
          <xdr:spPr>
            <a:xfrm rot="5400000" flipH="1" flipV="1">
              <a:off x="3949564" y="57997578"/>
              <a:ext cx="371333" cy="125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2" name="Straight Arrow Connector 1661">
              <a:extLst>
                <a:ext uri="{FF2B5EF4-FFF2-40B4-BE49-F238E27FC236}">
                  <a16:creationId xmlns:a16="http://schemas.microsoft.com/office/drawing/2014/main" id="{00000000-0008-0000-0000-00007E060000}"/>
                </a:ext>
              </a:extLst>
            </xdr:cNvPr>
            <xdr:cNvCxnSpPr/>
          </xdr:nvCxnSpPr>
          <xdr:spPr>
            <a:xfrm rot="5400000" flipH="1" flipV="1">
              <a:off x="4410915" y="57955694"/>
              <a:ext cx="261309"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5" name="Straight Arrow Connector 1664">
              <a:extLst>
                <a:ext uri="{FF2B5EF4-FFF2-40B4-BE49-F238E27FC236}">
                  <a16:creationId xmlns:a16="http://schemas.microsoft.com/office/drawing/2014/main" id="{00000000-0008-0000-0000-000081060000}"/>
                </a:ext>
              </a:extLst>
            </xdr:cNvPr>
            <xdr:cNvCxnSpPr/>
          </xdr:nvCxnSpPr>
          <xdr:spPr>
            <a:xfrm rot="5400000" flipH="1" flipV="1">
              <a:off x="4256193" y="57966009"/>
              <a:ext cx="29569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6" name="Straight Arrow Connector 1665">
              <a:extLst>
                <a:ext uri="{FF2B5EF4-FFF2-40B4-BE49-F238E27FC236}">
                  <a16:creationId xmlns:a16="http://schemas.microsoft.com/office/drawing/2014/main" id="{00000000-0008-0000-0000-000082060000}"/>
                </a:ext>
              </a:extLst>
            </xdr:cNvPr>
            <xdr:cNvCxnSpPr/>
          </xdr:nvCxnSpPr>
          <xdr:spPr>
            <a:xfrm rot="5400000" flipH="1" flipV="1">
              <a:off x="4537192" y="57941941"/>
              <a:ext cx="23380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7" name="Straight Arrow Connector 1666">
              <a:extLst>
                <a:ext uri="{FF2B5EF4-FFF2-40B4-BE49-F238E27FC236}">
                  <a16:creationId xmlns:a16="http://schemas.microsoft.com/office/drawing/2014/main" id="{00000000-0008-0000-0000-000083060000}"/>
                </a:ext>
              </a:extLst>
            </xdr:cNvPr>
            <xdr:cNvCxnSpPr/>
          </xdr:nvCxnSpPr>
          <xdr:spPr>
            <a:xfrm rot="5400000" flipH="1" flipV="1">
              <a:off x="4659406" y="57925375"/>
              <a:ext cx="226926" cy="125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8" name="Straight Arrow Connector 1667">
              <a:extLst>
                <a:ext uri="{FF2B5EF4-FFF2-40B4-BE49-F238E27FC236}">
                  <a16:creationId xmlns:a16="http://schemas.microsoft.com/office/drawing/2014/main" id="{00000000-0008-0000-0000-000084060000}"/>
                </a:ext>
              </a:extLst>
            </xdr:cNvPr>
            <xdr:cNvCxnSpPr/>
          </xdr:nvCxnSpPr>
          <xdr:spPr>
            <a:xfrm rot="5400000" flipH="1" flipV="1">
              <a:off x="4814753" y="57907558"/>
              <a:ext cx="17879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669" name="Straight Arrow Connector 1668">
              <a:extLst>
                <a:ext uri="{FF2B5EF4-FFF2-40B4-BE49-F238E27FC236}">
                  <a16:creationId xmlns:a16="http://schemas.microsoft.com/office/drawing/2014/main" id="{00000000-0008-0000-0000-000085060000}"/>
                </a:ext>
              </a:extLst>
            </xdr:cNvPr>
            <xdr:cNvCxnSpPr/>
          </xdr:nvCxnSpPr>
          <xdr:spPr>
            <a:xfrm rot="5400000" flipH="1" flipV="1">
              <a:off x="4956971" y="57883491"/>
              <a:ext cx="14440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a:off x="4132385" y="61847434"/>
            <a:ext cx="1139385" cy="319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Pressure Diagram</a:t>
            </a:r>
          </a:p>
        </xdr:txBody>
      </xdr:sp>
      <xdr:sp macro="" textlink="">
        <xdr:nvSpPr>
          <xdr:cNvPr id="1576" name="Rectangle 1575">
            <a:extLst>
              <a:ext uri="{FF2B5EF4-FFF2-40B4-BE49-F238E27FC236}">
                <a16:creationId xmlns:a16="http://schemas.microsoft.com/office/drawing/2014/main" id="{00000000-0008-0000-0000-000028060000}"/>
              </a:ext>
            </a:extLst>
          </xdr:cNvPr>
          <xdr:cNvSpPr/>
        </xdr:nvSpPr>
        <xdr:spPr>
          <a:xfrm>
            <a:off x="3333750" y="59502675"/>
            <a:ext cx="2076450" cy="303847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twoCellAnchor editAs="oneCell">
    <xdr:from>
      <xdr:col>4</xdr:col>
      <xdr:colOff>114300</xdr:colOff>
      <xdr:row>435</xdr:row>
      <xdr:rowOff>114300</xdr:rowOff>
    </xdr:from>
    <xdr:to>
      <xdr:col>8</xdr:col>
      <xdr:colOff>485775</xdr:colOff>
      <xdr:row>448</xdr:row>
      <xdr:rowOff>47625</xdr:rowOff>
    </xdr:to>
    <xdr:pic>
      <xdr:nvPicPr>
        <xdr:cNvPr id="3250" name="Picture 6">
          <a:extLst>
            <a:ext uri="{FF2B5EF4-FFF2-40B4-BE49-F238E27FC236}">
              <a16:creationId xmlns:a16="http://schemas.microsoft.com/office/drawing/2014/main" id="{00000000-0008-0000-0000-0000B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571750" y="76304775"/>
          <a:ext cx="2809875" cy="2409825"/>
        </a:xfrm>
        <a:prstGeom prst="rect">
          <a:avLst/>
        </a:prstGeom>
        <a:noFill/>
        <a:ln w="9525">
          <a:noFill/>
          <a:miter lim="800000"/>
          <a:headEnd/>
          <a:tailEnd/>
        </a:ln>
      </xdr:spPr>
    </xdr:pic>
    <xdr:clientData/>
  </xdr:twoCellAnchor>
  <xdr:twoCellAnchor>
    <xdr:from>
      <xdr:col>0</xdr:col>
      <xdr:colOff>342900</xdr:colOff>
      <xdr:row>459</xdr:row>
      <xdr:rowOff>19050</xdr:rowOff>
    </xdr:from>
    <xdr:to>
      <xdr:col>1</xdr:col>
      <xdr:colOff>104775</xdr:colOff>
      <xdr:row>465</xdr:row>
      <xdr:rowOff>19050</xdr:rowOff>
    </xdr:to>
    <xdr:grpSp>
      <xdr:nvGrpSpPr>
        <xdr:cNvPr id="3251" name="Group 1378">
          <a:extLst>
            <a:ext uri="{FF2B5EF4-FFF2-40B4-BE49-F238E27FC236}">
              <a16:creationId xmlns:a16="http://schemas.microsoft.com/office/drawing/2014/main" id="{00000000-0008-0000-0000-0000B30C0000}"/>
            </a:ext>
          </a:extLst>
        </xdr:cNvPr>
        <xdr:cNvGrpSpPr>
          <a:grpSpLocks/>
        </xdr:cNvGrpSpPr>
      </xdr:nvGrpSpPr>
      <xdr:grpSpPr bwMode="auto">
        <a:xfrm>
          <a:off x="342900" y="90239850"/>
          <a:ext cx="371475" cy="1143000"/>
          <a:chOff x="3457575" y="80724374"/>
          <a:chExt cx="438151" cy="1497014"/>
        </a:xfrm>
      </xdr:grpSpPr>
      <xdr:cxnSp macro="">
        <xdr:nvCxnSpPr>
          <xdr:cNvPr id="1339" name="Straight Connector 1338">
            <a:extLst>
              <a:ext uri="{FF2B5EF4-FFF2-40B4-BE49-F238E27FC236}">
                <a16:creationId xmlns:a16="http://schemas.microsoft.com/office/drawing/2014/main" id="{00000000-0008-0000-0000-00003B050000}"/>
              </a:ext>
            </a:extLst>
          </xdr:cNvPr>
          <xdr:cNvCxnSpPr/>
        </xdr:nvCxnSpPr>
        <xdr:spPr>
          <a:xfrm rot="16200000" flipH="1">
            <a:off x="3023638" y="81349300"/>
            <a:ext cx="1497014" cy="24716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76" name="Straight Connector 1375">
            <a:extLst>
              <a:ext uri="{FF2B5EF4-FFF2-40B4-BE49-F238E27FC236}">
                <a16:creationId xmlns:a16="http://schemas.microsoft.com/office/drawing/2014/main" id="{00000000-0008-0000-0000-000060050000}"/>
              </a:ext>
            </a:extLst>
          </xdr:cNvPr>
          <xdr:cNvCxnSpPr/>
        </xdr:nvCxnSpPr>
        <xdr:spPr>
          <a:xfrm rot="10800000">
            <a:off x="3457575" y="82221388"/>
            <a:ext cx="43815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78" name="Straight Connector 1377">
            <a:extLst>
              <a:ext uri="{FF2B5EF4-FFF2-40B4-BE49-F238E27FC236}">
                <a16:creationId xmlns:a16="http://schemas.microsoft.com/office/drawing/2014/main" id="{00000000-0008-0000-0000-000062050000}"/>
              </a:ext>
            </a:extLst>
          </xdr:cNvPr>
          <xdr:cNvCxnSpPr/>
        </xdr:nvCxnSpPr>
        <xdr:spPr>
          <a:xfrm rot="10800000">
            <a:off x="3502514" y="80724374"/>
            <a:ext cx="134816"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132522</xdr:colOff>
      <xdr:row>457</xdr:row>
      <xdr:rowOff>169441</xdr:rowOff>
    </xdr:from>
    <xdr:to>
      <xdr:col>1</xdr:col>
      <xdr:colOff>308526</xdr:colOff>
      <xdr:row>467</xdr:row>
      <xdr:rowOff>7516</xdr:rowOff>
    </xdr:to>
    <xdr:sp macro="" textlink="">
      <xdr:nvSpPr>
        <xdr:cNvPr id="1380" name="Rectangle 1379">
          <a:extLst>
            <a:ext uri="{FF2B5EF4-FFF2-40B4-BE49-F238E27FC236}">
              <a16:creationId xmlns:a16="http://schemas.microsoft.com/office/drawing/2014/main" id="{00000000-0008-0000-0000-000064050000}"/>
            </a:ext>
          </a:extLst>
        </xdr:cNvPr>
        <xdr:cNvSpPr/>
      </xdr:nvSpPr>
      <xdr:spPr>
        <a:xfrm>
          <a:off x="132522" y="80514458"/>
          <a:ext cx="786918" cy="17430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135176</xdr:colOff>
      <xdr:row>465</xdr:row>
      <xdr:rowOff>164765</xdr:rowOff>
    </xdr:from>
    <xdr:to>
      <xdr:col>1</xdr:col>
      <xdr:colOff>439976</xdr:colOff>
      <xdr:row>467</xdr:row>
      <xdr:rowOff>50465</xdr:rowOff>
    </xdr:to>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a:off x="135176" y="82033782"/>
          <a:ext cx="91571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a1+a2+a3</a:t>
          </a:r>
        </a:p>
      </xdr:txBody>
    </xdr:sp>
    <xdr:clientData/>
  </xdr:twoCellAnchor>
  <xdr:twoCellAnchor>
    <xdr:from>
      <xdr:col>1</xdr:col>
      <xdr:colOff>494466</xdr:colOff>
      <xdr:row>457</xdr:row>
      <xdr:rowOff>174763</xdr:rowOff>
    </xdr:from>
    <xdr:to>
      <xdr:col>3</xdr:col>
      <xdr:colOff>11177</xdr:colOff>
      <xdr:row>467</xdr:row>
      <xdr:rowOff>12838</xdr:rowOff>
    </xdr:to>
    <xdr:sp macro="" textlink="">
      <xdr:nvSpPr>
        <xdr:cNvPr id="1382" name="Rectangle 1381">
          <a:extLst>
            <a:ext uri="{FF2B5EF4-FFF2-40B4-BE49-F238E27FC236}">
              <a16:creationId xmlns:a16="http://schemas.microsoft.com/office/drawing/2014/main" id="{00000000-0008-0000-0000-000066050000}"/>
            </a:ext>
          </a:extLst>
        </xdr:cNvPr>
        <xdr:cNvSpPr/>
      </xdr:nvSpPr>
      <xdr:spPr>
        <a:xfrm>
          <a:off x="1107379" y="80897067"/>
          <a:ext cx="759102" cy="17430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xdr:col>
      <xdr:colOff>542925</xdr:colOff>
      <xdr:row>458</xdr:row>
      <xdr:rowOff>161925</xdr:rowOff>
    </xdr:from>
    <xdr:to>
      <xdr:col>2</xdr:col>
      <xdr:colOff>295275</xdr:colOff>
      <xdr:row>465</xdr:row>
      <xdr:rowOff>19050</xdr:rowOff>
    </xdr:to>
    <xdr:grpSp>
      <xdr:nvGrpSpPr>
        <xdr:cNvPr id="3255" name="Group 1387">
          <a:extLst>
            <a:ext uri="{FF2B5EF4-FFF2-40B4-BE49-F238E27FC236}">
              <a16:creationId xmlns:a16="http://schemas.microsoft.com/office/drawing/2014/main" id="{00000000-0008-0000-0000-0000B70C0000}"/>
            </a:ext>
          </a:extLst>
        </xdr:cNvPr>
        <xdr:cNvGrpSpPr>
          <a:grpSpLocks/>
        </xdr:cNvGrpSpPr>
      </xdr:nvGrpSpPr>
      <xdr:grpSpPr bwMode="auto">
        <a:xfrm>
          <a:off x="1152525" y="90192225"/>
          <a:ext cx="361950" cy="1190625"/>
          <a:chOff x="3895725" y="80621426"/>
          <a:chExt cx="371475" cy="1236424"/>
        </a:xfrm>
      </xdr:grpSpPr>
      <xdr:cxnSp macro="">
        <xdr:nvCxnSpPr>
          <xdr:cNvPr id="1384" name="Straight Connector 1383">
            <a:extLst>
              <a:ext uri="{FF2B5EF4-FFF2-40B4-BE49-F238E27FC236}">
                <a16:creationId xmlns:a16="http://schemas.microsoft.com/office/drawing/2014/main" id="{00000000-0008-0000-0000-000068050000}"/>
              </a:ext>
            </a:extLst>
          </xdr:cNvPr>
          <xdr:cNvCxnSpPr/>
        </xdr:nvCxnSpPr>
        <xdr:spPr>
          <a:xfrm rot="16200000" flipH="1">
            <a:off x="3590855" y="81181504"/>
            <a:ext cx="1147401" cy="20528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85" name="Straight Connector 1384">
            <a:extLst>
              <a:ext uri="{FF2B5EF4-FFF2-40B4-BE49-F238E27FC236}">
                <a16:creationId xmlns:a16="http://schemas.microsoft.com/office/drawing/2014/main" id="{00000000-0008-0000-0000-000069050000}"/>
              </a:ext>
            </a:extLst>
          </xdr:cNvPr>
          <xdr:cNvCxnSpPr/>
        </xdr:nvCxnSpPr>
        <xdr:spPr>
          <a:xfrm rot="10800000">
            <a:off x="3895725" y="81857850"/>
            <a:ext cx="371475"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86" name="Straight Connector 1385">
            <a:extLst>
              <a:ext uri="{FF2B5EF4-FFF2-40B4-BE49-F238E27FC236}">
                <a16:creationId xmlns:a16="http://schemas.microsoft.com/office/drawing/2014/main" id="{00000000-0008-0000-0000-00006A050000}"/>
              </a:ext>
            </a:extLst>
          </xdr:cNvPr>
          <xdr:cNvCxnSpPr/>
        </xdr:nvCxnSpPr>
        <xdr:spPr>
          <a:xfrm rot="10800000">
            <a:off x="3944603" y="80621426"/>
            <a:ext cx="107532" cy="7913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590550</xdr:colOff>
      <xdr:row>465</xdr:row>
      <xdr:rowOff>140391</xdr:rowOff>
    </xdr:from>
    <xdr:to>
      <xdr:col>2</xdr:col>
      <xdr:colOff>600076</xdr:colOff>
      <xdr:row>467</xdr:row>
      <xdr:rowOff>26091</xdr:rowOff>
    </xdr:to>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a:off x="1203463" y="82386695"/>
          <a:ext cx="62243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a1+a2</a:t>
          </a:r>
        </a:p>
      </xdr:txBody>
    </xdr:sp>
    <xdr:clientData/>
  </xdr:twoCellAnchor>
  <xdr:twoCellAnchor>
    <xdr:from>
      <xdr:col>3</xdr:col>
      <xdr:colOff>178491</xdr:colOff>
      <xdr:row>457</xdr:row>
      <xdr:rowOff>174763</xdr:rowOff>
    </xdr:from>
    <xdr:to>
      <xdr:col>4</xdr:col>
      <xdr:colOff>321366</xdr:colOff>
      <xdr:row>467</xdr:row>
      <xdr:rowOff>12838</xdr:rowOff>
    </xdr:to>
    <xdr:sp macro="" textlink="">
      <xdr:nvSpPr>
        <xdr:cNvPr id="1390" name="Rectangle 1389">
          <a:extLst>
            <a:ext uri="{FF2B5EF4-FFF2-40B4-BE49-F238E27FC236}">
              <a16:creationId xmlns:a16="http://schemas.microsoft.com/office/drawing/2014/main" id="{00000000-0008-0000-0000-00006E050000}"/>
            </a:ext>
          </a:extLst>
        </xdr:cNvPr>
        <xdr:cNvSpPr/>
      </xdr:nvSpPr>
      <xdr:spPr>
        <a:xfrm>
          <a:off x="2033795" y="80897067"/>
          <a:ext cx="755788" cy="17430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333375</xdr:colOff>
      <xdr:row>458</xdr:row>
      <xdr:rowOff>171450</xdr:rowOff>
    </xdr:from>
    <xdr:to>
      <xdr:col>4</xdr:col>
      <xdr:colOff>95250</xdr:colOff>
      <xdr:row>465</xdr:row>
      <xdr:rowOff>9525</xdr:rowOff>
    </xdr:to>
    <xdr:grpSp>
      <xdr:nvGrpSpPr>
        <xdr:cNvPr id="3258" name="Group 1390">
          <a:extLst>
            <a:ext uri="{FF2B5EF4-FFF2-40B4-BE49-F238E27FC236}">
              <a16:creationId xmlns:a16="http://schemas.microsoft.com/office/drawing/2014/main" id="{00000000-0008-0000-0000-0000BA0C0000}"/>
            </a:ext>
          </a:extLst>
        </xdr:cNvPr>
        <xdr:cNvGrpSpPr>
          <a:grpSpLocks/>
        </xdr:cNvGrpSpPr>
      </xdr:nvGrpSpPr>
      <xdr:grpSpPr bwMode="auto">
        <a:xfrm>
          <a:off x="2181225" y="90201750"/>
          <a:ext cx="428625" cy="1171575"/>
          <a:chOff x="3895725" y="80638650"/>
          <a:chExt cx="371475" cy="1219200"/>
        </a:xfrm>
      </xdr:grpSpPr>
      <xdr:cxnSp macro="">
        <xdr:nvCxnSpPr>
          <xdr:cNvPr id="1393" name="Straight Connector 1392">
            <a:extLst>
              <a:ext uri="{FF2B5EF4-FFF2-40B4-BE49-F238E27FC236}">
                <a16:creationId xmlns:a16="http://schemas.microsoft.com/office/drawing/2014/main" id="{00000000-0008-0000-0000-000071050000}"/>
              </a:ext>
            </a:extLst>
          </xdr:cNvPr>
          <xdr:cNvCxnSpPr/>
        </xdr:nvCxnSpPr>
        <xdr:spPr>
          <a:xfrm rot="16200000" flipH="1">
            <a:off x="3592473" y="81183124"/>
            <a:ext cx="1139902" cy="2095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01" name="Straight Connector 1400">
            <a:extLst>
              <a:ext uri="{FF2B5EF4-FFF2-40B4-BE49-F238E27FC236}">
                <a16:creationId xmlns:a16="http://schemas.microsoft.com/office/drawing/2014/main" id="{00000000-0008-0000-0000-000079050000}"/>
              </a:ext>
            </a:extLst>
          </xdr:cNvPr>
          <xdr:cNvCxnSpPr/>
        </xdr:nvCxnSpPr>
        <xdr:spPr>
          <a:xfrm rot="10800000">
            <a:off x="3895725" y="81857850"/>
            <a:ext cx="371475"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02" name="Straight Connector 1401">
            <a:extLst>
              <a:ext uri="{FF2B5EF4-FFF2-40B4-BE49-F238E27FC236}">
                <a16:creationId xmlns:a16="http://schemas.microsoft.com/office/drawing/2014/main" id="{00000000-0008-0000-0000-00007A050000}"/>
              </a:ext>
            </a:extLst>
          </xdr:cNvPr>
          <xdr:cNvCxnSpPr/>
        </xdr:nvCxnSpPr>
        <xdr:spPr>
          <a:xfrm rot="10800000">
            <a:off x="3943350" y="80638650"/>
            <a:ext cx="104775" cy="7929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375204</xdr:colOff>
      <xdr:row>465</xdr:row>
      <xdr:rowOff>133350</xdr:rowOff>
    </xdr:from>
    <xdr:to>
      <xdr:col>4</xdr:col>
      <xdr:colOff>127554</xdr:colOff>
      <xdr:row>467</xdr:row>
      <xdr:rowOff>9526</xdr:rowOff>
    </xdr:to>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a:off x="2230508" y="82379654"/>
          <a:ext cx="365263"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a1</a:t>
          </a:r>
        </a:p>
      </xdr:txBody>
    </xdr:sp>
    <xdr:clientData/>
  </xdr:twoCellAnchor>
  <xdr:twoCellAnchor>
    <xdr:from>
      <xdr:col>0</xdr:col>
      <xdr:colOff>34844</xdr:colOff>
      <xdr:row>469</xdr:row>
      <xdr:rowOff>118240</xdr:rowOff>
    </xdr:from>
    <xdr:to>
      <xdr:col>2</xdr:col>
      <xdr:colOff>448978</xdr:colOff>
      <xdr:row>474</xdr:row>
      <xdr:rowOff>116527</xdr:rowOff>
    </xdr:to>
    <xdr:sp macro="" textlink="">
      <xdr:nvSpPr>
        <xdr:cNvPr id="1404" name="Rectangle 1403">
          <a:extLst>
            <a:ext uri="{FF2B5EF4-FFF2-40B4-BE49-F238E27FC236}">
              <a16:creationId xmlns:a16="http://schemas.microsoft.com/office/drawing/2014/main" id="{00000000-0008-0000-0000-00007C050000}"/>
            </a:ext>
          </a:extLst>
        </xdr:cNvPr>
        <xdr:cNvSpPr/>
      </xdr:nvSpPr>
      <xdr:spPr>
        <a:xfrm rot="16200000">
          <a:off x="377431" y="82432946"/>
          <a:ext cx="950787" cy="163596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0</xdr:col>
      <xdr:colOff>95250</xdr:colOff>
      <xdr:row>470</xdr:row>
      <xdr:rowOff>190500</xdr:rowOff>
    </xdr:from>
    <xdr:to>
      <xdr:col>2</xdr:col>
      <xdr:colOff>390525</xdr:colOff>
      <xdr:row>472</xdr:row>
      <xdr:rowOff>104775</xdr:rowOff>
    </xdr:to>
    <xdr:grpSp>
      <xdr:nvGrpSpPr>
        <xdr:cNvPr id="3261" name="Group 1417">
          <a:extLst>
            <a:ext uri="{FF2B5EF4-FFF2-40B4-BE49-F238E27FC236}">
              <a16:creationId xmlns:a16="http://schemas.microsoft.com/office/drawing/2014/main" id="{00000000-0008-0000-0000-0000BD0C0000}"/>
            </a:ext>
          </a:extLst>
        </xdr:cNvPr>
        <xdr:cNvGrpSpPr>
          <a:grpSpLocks/>
        </xdr:cNvGrpSpPr>
      </xdr:nvGrpSpPr>
      <xdr:grpSpPr bwMode="auto">
        <a:xfrm>
          <a:off x="95250" y="92506800"/>
          <a:ext cx="1514475" cy="295275"/>
          <a:chOff x="330890" y="83388061"/>
          <a:chExt cx="1516927" cy="291928"/>
        </a:xfrm>
      </xdr:grpSpPr>
      <xdr:grpSp>
        <xdr:nvGrpSpPr>
          <xdr:cNvPr id="3434" name="Group 1410">
            <a:extLst>
              <a:ext uri="{FF2B5EF4-FFF2-40B4-BE49-F238E27FC236}">
                <a16:creationId xmlns:a16="http://schemas.microsoft.com/office/drawing/2014/main" id="{00000000-0008-0000-0000-00006A0D0000}"/>
              </a:ext>
            </a:extLst>
          </xdr:cNvPr>
          <xdr:cNvGrpSpPr>
            <a:grpSpLocks/>
          </xdr:cNvGrpSpPr>
        </xdr:nvGrpSpPr>
        <xdr:grpSpPr bwMode="auto">
          <a:xfrm>
            <a:off x="330890" y="83388061"/>
            <a:ext cx="1511576" cy="171450"/>
            <a:chOff x="2990850" y="83048475"/>
            <a:chExt cx="2114550" cy="247650"/>
          </a:xfrm>
        </xdr:grpSpPr>
        <xdr:cxnSp macro="">
          <xdr:nvCxnSpPr>
            <xdr:cNvPr id="1406" name="Straight Connector 1405">
              <a:extLst>
                <a:ext uri="{FF2B5EF4-FFF2-40B4-BE49-F238E27FC236}">
                  <a16:creationId xmlns:a16="http://schemas.microsoft.com/office/drawing/2014/main" id="{00000000-0008-0000-0000-00007E050000}"/>
                </a:ext>
              </a:extLst>
            </xdr:cNvPr>
            <xdr:cNvCxnSpPr/>
          </xdr:nvCxnSpPr>
          <xdr:spPr>
            <a:xfrm flipV="1">
              <a:off x="2990850" y="83048475"/>
              <a:ext cx="400384" cy="1904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08" name="Straight Connector 1407">
              <a:extLst>
                <a:ext uri="{FF2B5EF4-FFF2-40B4-BE49-F238E27FC236}">
                  <a16:creationId xmlns:a16="http://schemas.microsoft.com/office/drawing/2014/main" id="{00000000-0008-0000-0000-000080050000}"/>
                </a:ext>
              </a:extLst>
            </xdr:cNvPr>
            <xdr:cNvCxnSpPr/>
          </xdr:nvCxnSpPr>
          <xdr:spPr>
            <a:xfrm>
              <a:off x="3391234" y="83048475"/>
              <a:ext cx="74738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10" name="Straight Connector 1409">
              <a:extLst>
                <a:ext uri="{FF2B5EF4-FFF2-40B4-BE49-F238E27FC236}">
                  <a16:creationId xmlns:a16="http://schemas.microsoft.com/office/drawing/2014/main" id="{00000000-0008-0000-0000-000082050000}"/>
                </a:ext>
              </a:extLst>
            </xdr:cNvPr>
            <xdr:cNvCxnSpPr/>
          </xdr:nvCxnSpPr>
          <xdr:spPr>
            <a:xfrm>
              <a:off x="4138617" y="83048475"/>
              <a:ext cx="960922" cy="244842"/>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13" name="Straight Connector 1412">
            <a:extLst>
              <a:ext uri="{FF2B5EF4-FFF2-40B4-BE49-F238E27FC236}">
                <a16:creationId xmlns:a16="http://schemas.microsoft.com/office/drawing/2014/main" id="{00000000-0008-0000-0000-000085050000}"/>
              </a:ext>
            </a:extLst>
          </xdr:cNvPr>
          <xdr:cNvCxnSpPr/>
        </xdr:nvCxnSpPr>
        <xdr:spPr>
          <a:xfrm flipV="1">
            <a:off x="359511" y="83519899"/>
            <a:ext cx="95404" cy="3766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414" name="Arc 1413">
            <a:extLst>
              <a:ext uri="{FF2B5EF4-FFF2-40B4-BE49-F238E27FC236}">
                <a16:creationId xmlns:a16="http://schemas.microsoft.com/office/drawing/2014/main" id="{00000000-0008-0000-0000-000086050000}"/>
              </a:ext>
            </a:extLst>
          </xdr:cNvPr>
          <xdr:cNvSpPr/>
        </xdr:nvSpPr>
        <xdr:spPr>
          <a:xfrm flipH="1" flipV="1">
            <a:off x="340430" y="83463397"/>
            <a:ext cx="57243" cy="103587"/>
          </a:xfrm>
          <a:prstGeom prst="arc">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cxnSp macro="">
        <xdr:nvCxnSpPr>
          <xdr:cNvPr id="1417" name="Straight Connector 1416">
            <a:extLst>
              <a:ext uri="{FF2B5EF4-FFF2-40B4-BE49-F238E27FC236}">
                <a16:creationId xmlns:a16="http://schemas.microsoft.com/office/drawing/2014/main" id="{00000000-0008-0000-0000-000089050000}"/>
              </a:ext>
            </a:extLst>
          </xdr:cNvPr>
          <xdr:cNvCxnSpPr/>
        </xdr:nvCxnSpPr>
        <xdr:spPr>
          <a:xfrm rot="5400000">
            <a:off x="1791315" y="83623487"/>
            <a:ext cx="11300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571511</xdr:colOff>
      <xdr:row>469</xdr:row>
      <xdr:rowOff>108421</xdr:rowOff>
    </xdr:from>
    <xdr:to>
      <xdr:col>5</xdr:col>
      <xdr:colOff>372718</xdr:colOff>
      <xdr:row>474</xdr:row>
      <xdr:rowOff>113394</xdr:rowOff>
    </xdr:to>
    <xdr:sp macro="" textlink="">
      <xdr:nvSpPr>
        <xdr:cNvPr id="1321" name="Rectangle 1320">
          <a:extLst>
            <a:ext uri="{FF2B5EF4-FFF2-40B4-BE49-F238E27FC236}">
              <a16:creationId xmlns:a16="http://schemas.microsoft.com/office/drawing/2014/main" id="{00000000-0008-0000-0000-000029050000}"/>
            </a:ext>
          </a:extLst>
        </xdr:cNvPr>
        <xdr:cNvSpPr/>
      </xdr:nvSpPr>
      <xdr:spPr>
        <a:xfrm rot="16200000">
          <a:off x="2141430" y="82417623"/>
          <a:ext cx="957473" cy="16536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152400</xdr:colOff>
      <xdr:row>470</xdr:row>
      <xdr:rowOff>180975</xdr:rowOff>
    </xdr:from>
    <xdr:to>
      <xdr:col>5</xdr:col>
      <xdr:colOff>276225</xdr:colOff>
      <xdr:row>471</xdr:row>
      <xdr:rowOff>180975</xdr:rowOff>
    </xdr:to>
    <xdr:grpSp>
      <xdr:nvGrpSpPr>
        <xdr:cNvPr id="3263" name="Group 1415">
          <a:extLst>
            <a:ext uri="{FF2B5EF4-FFF2-40B4-BE49-F238E27FC236}">
              <a16:creationId xmlns:a16="http://schemas.microsoft.com/office/drawing/2014/main" id="{00000000-0008-0000-0000-0000BF0C0000}"/>
            </a:ext>
          </a:extLst>
        </xdr:cNvPr>
        <xdr:cNvGrpSpPr>
          <a:grpSpLocks/>
        </xdr:cNvGrpSpPr>
      </xdr:nvGrpSpPr>
      <xdr:grpSpPr bwMode="auto">
        <a:xfrm>
          <a:off x="2000250" y="92497275"/>
          <a:ext cx="1400175" cy="190500"/>
          <a:chOff x="2841857" y="84194955"/>
          <a:chExt cx="1349143" cy="188314"/>
        </a:xfrm>
      </xdr:grpSpPr>
      <xdr:grpSp>
        <xdr:nvGrpSpPr>
          <xdr:cNvPr id="3426" name="Group 1321">
            <a:extLst>
              <a:ext uri="{FF2B5EF4-FFF2-40B4-BE49-F238E27FC236}">
                <a16:creationId xmlns:a16="http://schemas.microsoft.com/office/drawing/2014/main" id="{00000000-0008-0000-0000-0000620D0000}"/>
              </a:ext>
            </a:extLst>
          </xdr:cNvPr>
          <xdr:cNvGrpSpPr>
            <a:grpSpLocks/>
          </xdr:cNvGrpSpPr>
        </xdr:nvGrpSpPr>
        <xdr:grpSpPr bwMode="auto">
          <a:xfrm>
            <a:off x="2841857" y="84194955"/>
            <a:ext cx="1258034" cy="188314"/>
            <a:chOff x="2765628" y="83109045"/>
            <a:chExt cx="1250973" cy="188314"/>
          </a:xfrm>
        </xdr:grpSpPr>
        <xdr:grpSp>
          <xdr:nvGrpSpPr>
            <xdr:cNvPr id="3428" name="Group 1410">
              <a:extLst>
                <a:ext uri="{FF2B5EF4-FFF2-40B4-BE49-F238E27FC236}">
                  <a16:creationId xmlns:a16="http://schemas.microsoft.com/office/drawing/2014/main" id="{00000000-0008-0000-0000-0000640D0000}"/>
                </a:ext>
              </a:extLst>
            </xdr:cNvPr>
            <xdr:cNvGrpSpPr>
              <a:grpSpLocks/>
            </xdr:cNvGrpSpPr>
          </xdr:nvGrpSpPr>
          <xdr:grpSpPr bwMode="auto">
            <a:xfrm>
              <a:off x="2767596" y="83109045"/>
              <a:ext cx="1249005" cy="131885"/>
              <a:chOff x="2990850" y="83048475"/>
              <a:chExt cx="1757098" cy="190500"/>
            </a:xfrm>
          </xdr:grpSpPr>
          <xdr:cxnSp macro="">
            <xdr:nvCxnSpPr>
              <xdr:cNvPr id="1383" name="Straight Connector 1382">
                <a:extLst>
                  <a:ext uri="{FF2B5EF4-FFF2-40B4-BE49-F238E27FC236}">
                    <a16:creationId xmlns:a16="http://schemas.microsoft.com/office/drawing/2014/main" id="{00000000-0008-0000-0000-000067050000}"/>
                  </a:ext>
                </a:extLst>
              </xdr:cNvPr>
              <xdr:cNvCxnSpPr/>
            </xdr:nvCxnSpPr>
            <xdr:spPr>
              <a:xfrm flipV="1">
                <a:off x="2988082" y="83048475"/>
                <a:ext cx="401557" cy="19040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87" name="Straight Connector 1386">
                <a:extLst>
                  <a:ext uri="{FF2B5EF4-FFF2-40B4-BE49-F238E27FC236}">
                    <a16:creationId xmlns:a16="http://schemas.microsoft.com/office/drawing/2014/main" id="{00000000-0008-0000-0000-00006B050000}"/>
                  </a:ext>
                </a:extLst>
              </xdr:cNvPr>
              <xdr:cNvCxnSpPr/>
            </xdr:nvCxnSpPr>
            <xdr:spPr>
              <a:xfrm>
                <a:off x="3389639" y="83048475"/>
                <a:ext cx="74957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05" name="Straight Connector 1404">
                <a:extLst>
                  <a:ext uri="{FF2B5EF4-FFF2-40B4-BE49-F238E27FC236}">
                    <a16:creationId xmlns:a16="http://schemas.microsoft.com/office/drawing/2014/main" id="{00000000-0008-0000-0000-00007D050000}"/>
                  </a:ext>
                </a:extLst>
              </xdr:cNvPr>
              <xdr:cNvCxnSpPr/>
            </xdr:nvCxnSpPr>
            <xdr:spPr>
              <a:xfrm>
                <a:off x="4139212" y="83048475"/>
                <a:ext cx="602336" cy="149605"/>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374" name="Straight Connector 1373">
              <a:extLst>
                <a:ext uri="{FF2B5EF4-FFF2-40B4-BE49-F238E27FC236}">
                  <a16:creationId xmlns:a16="http://schemas.microsoft.com/office/drawing/2014/main" id="{00000000-0008-0000-0000-00005E050000}"/>
                </a:ext>
              </a:extLst>
            </xdr:cNvPr>
            <xdr:cNvCxnSpPr/>
          </xdr:nvCxnSpPr>
          <xdr:spPr>
            <a:xfrm flipV="1">
              <a:off x="2794172" y="83259696"/>
              <a:ext cx="95147" cy="3766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377" name="Arc 1376">
              <a:extLst>
                <a:ext uri="{FF2B5EF4-FFF2-40B4-BE49-F238E27FC236}">
                  <a16:creationId xmlns:a16="http://schemas.microsoft.com/office/drawing/2014/main" id="{00000000-0008-0000-0000-000061050000}"/>
                </a:ext>
              </a:extLst>
            </xdr:cNvPr>
            <xdr:cNvSpPr/>
          </xdr:nvSpPr>
          <xdr:spPr>
            <a:xfrm flipH="1" flipV="1">
              <a:off x="2765628" y="83193786"/>
              <a:ext cx="57088" cy="103573"/>
            </a:xfrm>
            <a:prstGeom prst="arc">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grpSp>
      <xdr:cxnSp macro="">
        <xdr:nvCxnSpPr>
          <xdr:cNvPr id="1412" name="Straight Connector 1411">
            <a:extLst>
              <a:ext uri="{FF2B5EF4-FFF2-40B4-BE49-F238E27FC236}">
                <a16:creationId xmlns:a16="http://schemas.microsoft.com/office/drawing/2014/main" id="{00000000-0008-0000-0000-000084050000}"/>
              </a:ext>
            </a:extLst>
          </xdr:cNvPr>
          <xdr:cNvCxnSpPr/>
        </xdr:nvCxnSpPr>
        <xdr:spPr>
          <a:xfrm>
            <a:off x="4095316" y="84298528"/>
            <a:ext cx="95684" cy="5649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314746</xdr:colOff>
      <xdr:row>476</xdr:row>
      <xdr:rowOff>164227</xdr:rowOff>
    </xdr:from>
    <xdr:to>
      <xdr:col>3</xdr:col>
      <xdr:colOff>104373</xdr:colOff>
      <xdr:row>480</xdr:row>
      <xdr:rowOff>146692</xdr:rowOff>
    </xdr:to>
    <xdr:sp macro="" textlink="">
      <xdr:nvSpPr>
        <xdr:cNvPr id="1421" name="Rectangle 1420">
          <a:extLst>
            <a:ext uri="{FF2B5EF4-FFF2-40B4-BE49-F238E27FC236}">
              <a16:creationId xmlns:a16="http://schemas.microsoft.com/office/drawing/2014/main" id="{00000000-0008-0000-0000-00008D050000}"/>
            </a:ext>
          </a:extLst>
        </xdr:cNvPr>
        <xdr:cNvSpPr/>
      </xdr:nvSpPr>
      <xdr:spPr>
        <a:xfrm rot="16200000">
          <a:off x="763551" y="83719353"/>
          <a:ext cx="744465" cy="16420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xdr:col>
      <xdr:colOff>9525</xdr:colOff>
      <xdr:row>478</xdr:row>
      <xdr:rowOff>9525</xdr:rowOff>
    </xdr:from>
    <xdr:to>
      <xdr:col>3</xdr:col>
      <xdr:colOff>38100</xdr:colOff>
      <xdr:row>478</xdr:row>
      <xdr:rowOff>161925</xdr:rowOff>
    </xdr:to>
    <xdr:grpSp>
      <xdr:nvGrpSpPr>
        <xdr:cNvPr id="3265" name="Group 1449">
          <a:extLst>
            <a:ext uri="{FF2B5EF4-FFF2-40B4-BE49-F238E27FC236}">
              <a16:creationId xmlns:a16="http://schemas.microsoft.com/office/drawing/2014/main" id="{00000000-0008-0000-0000-0000C10C0000}"/>
            </a:ext>
          </a:extLst>
        </xdr:cNvPr>
        <xdr:cNvGrpSpPr>
          <a:grpSpLocks/>
        </xdr:cNvGrpSpPr>
      </xdr:nvGrpSpPr>
      <xdr:grpSpPr bwMode="auto">
        <a:xfrm>
          <a:off x="619125" y="93849825"/>
          <a:ext cx="1266825" cy="152400"/>
          <a:chOff x="322228" y="84938945"/>
          <a:chExt cx="1276316" cy="149883"/>
        </a:xfrm>
      </xdr:grpSpPr>
      <xdr:cxnSp macro="">
        <xdr:nvCxnSpPr>
          <xdr:cNvPr id="1431" name="Straight Connector 1430">
            <a:extLst>
              <a:ext uri="{FF2B5EF4-FFF2-40B4-BE49-F238E27FC236}">
                <a16:creationId xmlns:a16="http://schemas.microsoft.com/office/drawing/2014/main" id="{00000000-0008-0000-0000-000097050000}"/>
              </a:ext>
            </a:extLst>
          </xdr:cNvPr>
          <xdr:cNvCxnSpPr/>
        </xdr:nvCxnSpPr>
        <xdr:spPr>
          <a:xfrm rot="5400000">
            <a:off x="247286" y="85013887"/>
            <a:ext cx="14988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47" name="Straight Connector 1446">
            <a:extLst>
              <a:ext uri="{FF2B5EF4-FFF2-40B4-BE49-F238E27FC236}">
                <a16:creationId xmlns:a16="http://schemas.microsoft.com/office/drawing/2014/main" id="{00000000-0008-0000-0000-0000A7050000}"/>
              </a:ext>
            </a:extLst>
          </xdr:cNvPr>
          <xdr:cNvCxnSpPr/>
        </xdr:nvCxnSpPr>
        <xdr:spPr>
          <a:xfrm>
            <a:off x="322228" y="85088828"/>
            <a:ext cx="1180352"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49" name="Straight Connector 1448">
            <a:extLst>
              <a:ext uri="{FF2B5EF4-FFF2-40B4-BE49-F238E27FC236}">
                <a16:creationId xmlns:a16="http://schemas.microsoft.com/office/drawing/2014/main" id="{00000000-0008-0000-0000-0000A9050000}"/>
              </a:ext>
            </a:extLst>
          </xdr:cNvPr>
          <xdr:cNvCxnSpPr/>
        </xdr:nvCxnSpPr>
        <xdr:spPr>
          <a:xfrm rot="5400000" flipH="1" flipV="1">
            <a:off x="1499039" y="84989324"/>
            <a:ext cx="103045" cy="9596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16567</xdr:colOff>
      <xdr:row>469</xdr:row>
      <xdr:rowOff>74542</xdr:rowOff>
    </xdr:from>
    <xdr:to>
      <xdr:col>8</xdr:col>
      <xdr:colOff>447270</xdr:colOff>
      <xdr:row>471</xdr:row>
      <xdr:rowOff>149087</xdr:rowOff>
    </xdr:to>
    <xdr:sp macro="" textlink="">
      <xdr:nvSpPr>
        <xdr:cNvPr id="1451" name="Rectangle 1450">
          <a:extLst>
            <a:ext uri="{FF2B5EF4-FFF2-40B4-BE49-F238E27FC236}">
              <a16:creationId xmlns:a16="http://schemas.microsoft.com/office/drawing/2014/main" id="{00000000-0008-0000-0000-0000AB050000}"/>
            </a:ext>
          </a:extLst>
        </xdr:cNvPr>
        <xdr:cNvSpPr/>
      </xdr:nvSpPr>
      <xdr:spPr>
        <a:xfrm rot="16200000">
          <a:off x="4311102" y="82482354"/>
          <a:ext cx="455545" cy="165653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352425</xdr:colOff>
      <xdr:row>469</xdr:row>
      <xdr:rowOff>152400</xdr:rowOff>
    </xdr:from>
    <xdr:to>
      <xdr:col>8</xdr:col>
      <xdr:colOff>0</xdr:colOff>
      <xdr:row>470</xdr:row>
      <xdr:rowOff>171450</xdr:rowOff>
    </xdr:to>
    <xdr:grpSp>
      <xdr:nvGrpSpPr>
        <xdr:cNvPr id="3267" name="Group 1455">
          <a:extLst>
            <a:ext uri="{FF2B5EF4-FFF2-40B4-BE49-F238E27FC236}">
              <a16:creationId xmlns:a16="http://schemas.microsoft.com/office/drawing/2014/main" id="{00000000-0008-0000-0000-0000C30C0000}"/>
            </a:ext>
          </a:extLst>
        </xdr:cNvPr>
        <xdr:cNvGrpSpPr>
          <a:grpSpLocks/>
        </xdr:cNvGrpSpPr>
      </xdr:nvGrpSpPr>
      <xdr:grpSpPr bwMode="auto">
        <a:xfrm>
          <a:off x="4086225" y="92278200"/>
          <a:ext cx="866775" cy="209550"/>
          <a:chOff x="4041910" y="83390101"/>
          <a:chExt cx="878750" cy="216141"/>
        </a:xfrm>
      </xdr:grpSpPr>
      <xdr:cxnSp macro="">
        <xdr:nvCxnSpPr>
          <xdr:cNvPr id="1453" name="Straight Connector 1452">
            <a:extLst>
              <a:ext uri="{FF2B5EF4-FFF2-40B4-BE49-F238E27FC236}">
                <a16:creationId xmlns:a16="http://schemas.microsoft.com/office/drawing/2014/main" id="{00000000-0008-0000-0000-0000AD050000}"/>
              </a:ext>
            </a:extLst>
          </xdr:cNvPr>
          <xdr:cNvCxnSpPr/>
        </xdr:nvCxnSpPr>
        <xdr:spPr>
          <a:xfrm rot="5400000">
            <a:off x="4812589" y="83498172"/>
            <a:ext cx="21614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55" name="Straight Connector 1454">
            <a:extLst>
              <a:ext uri="{FF2B5EF4-FFF2-40B4-BE49-F238E27FC236}">
                <a16:creationId xmlns:a16="http://schemas.microsoft.com/office/drawing/2014/main" id="{00000000-0008-0000-0000-0000AF050000}"/>
              </a:ext>
            </a:extLst>
          </xdr:cNvPr>
          <xdr:cNvCxnSpPr/>
        </xdr:nvCxnSpPr>
        <xdr:spPr>
          <a:xfrm rot="10800000">
            <a:off x="4041910" y="83606242"/>
            <a:ext cx="87875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24852</xdr:colOff>
      <xdr:row>472</xdr:row>
      <xdr:rowOff>26508</xdr:rowOff>
    </xdr:from>
    <xdr:to>
      <xdr:col>8</xdr:col>
      <xdr:colOff>455557</xdr:colOff>
      <xdr:row>474</xdr:row>
      <xdr:rowOff>157370</xdr:rowOff>
    </xdr:to>
    <xdr:sp macro="" textlink="">
      <xdr:nvSpPr>
        <xdr:cNvPr id="1457" name="Rectangle 1456">
          <a:extLst>
            <a:ext uri="{FF2B5EF4-FFF2-40B4-BE49-F238E27FC236}">
              <a16:creationId xmlns:a16="http://schemas.microsoft.com/office/drawing/2014/main" id="{00000000-0008-0000-0000-0000B1050000}"/>
            </a:ext>
          </a:extLst>
        </xdr:cNvPr>
        <xdr:cNvSpPr/>
      </xdr:nvSpPr>
      <xdr:spPr>
        <a:xfrm rot="16200000">
          <a:off x="4291230" y="83033977"/>
          <a:ext cx="511862" cy="165653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521805</xdr:colOff>
      <xdr:row>458</xdr:row>
      <xdr:rowOff>8283</xdr:rowOff>
    </xdr:from>
    <xdr:to>
      <xdr:col>6</xdr:col>
      <xdr:colOff>142450</xdr:colOff>
      <xdr:row>466</xdr:row>
      <xdr:rowOff>181801</xdr:rowOff>
    </xdr:to>
    <xdr:sp macro="" textlink="">
      <xdr:nvSpPr>
        <xdr:cNvPr id="1458" name="Rectangle 1457">
          <a:extLst>
            <a:ext uri="{FF2B5EF4-FFF2-40B4-BE49-F238E27FC236}">
              <a16:creationId xmlns:a16="http://schemas.microsoft.com/office/drawing/2014/main" id="{00000000-0008-0000-0000-0000B2050000}"/>
            </a:ext>
          </a:extLst>
        </xdr:cNvPr>
        <xdr:cNvSpPr/>
      </xdr:nvSpPr>
      <xdr:spPr>
        <a:xfrm>
          <a:off x="2990022" y="80921087"/>
          <a:ext cx="846471" cy="169751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581025</xdr:colOff>
      <xdr:row>458</xdr:row>
      <xdr:rowOff>180975</xdr:rowOff>
    </xdr:from>
    <xdr:to>
      <xdr:col>5</xdr:col>
      <xdr:colOff>447675</xdr:colOff>
      <xdr:row>464</xdr:row>
      <xdr:rowOff>180975</xdr:rowOff>
    </xdr:to>
    <xdr:grpSp>
      <xdr:nvGrpSpPr>
        <xdr:cNvPr id="3270" name="Group 1458">
          <a:extLst>
            <a:ext uri="{FF2B5EF4-FFF2-40B4-BE49-F238E27FC236}">
              <a16:creationId xmlns:a16="http://schemas.microsoft.com/office/drawing/2014/main" id="{00000000-0008-0000-0000-0000C60C0000}"/>
            </a:ext>
          </a:extLst>
        </xdr:cNvPr>
        <xdr:cNvGrpSpPr>
          <a:grpSpLocks/>
        </xdr:cNvGrpSpPr>
      </xdr:nvGrpSpPr>
      <xdr:grpSpPr bwMode="auto">
        <a:xfrm flipH="1">
          <a:off x="3095625" y="90211275"/>
          <a:ext cx="476250" cy="1143000"/>
          <a:chOff x="3457575" y="80724374"/>
          <a:chExt cx="438151" cy="1497014"/>
        </a:xfrm>
      </xdr:grpSpPr>
      <xdr:cxnSp macro="">
        <xdr:nvCxnSpPr>
          <xdr:cNvPr id="1460" name="Straight Connector 1459">
            <a:extLst>
              <a:ext uri="{FF2B5EF4-FFF2-40B4-BE49-F238E27FC236}">
                <a16:creationId xmlns:a16="http://schemas.microsoft.com/office/drawing/2014/main" id="{00000000-0008-0000-0000-0000B4050000}"/>
              </a:ext>
            </a:extLst>
          </xdr:cNvPr>
          <xdr:cNvCxnSpPr/>
        </xdr:nvCxnSpPr>
        <xdr:spPr>
          <a:xfrm rot="16200000" flipH="1">
            <a:off x="3024537" y="81350199"/>
            <a:ext cx="1497014" cy="24536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1" name="Straight Connector 1460">
            <a:extLst>
              <a:ext uri="{FF2B5EF4-FFF2-40B4-BE49-F238E27FC236}">
                <a16:creationId xmlns:a16="http://schemas.microsoft.com/office/drawing/2014/main" id="{00000000-0008-0000-0000-0000B5050000}"/>
              </a:ext>
            </a:extLst>
          </xdr:cNvPr>
          <xdr:cNvCxnSpPr/>
        </xdr:nvCxnSpPr>
        <xdr:spPr>
          <a:xfrm rot="10800000">
            <a:off x="3457575" y="82221388"/>
            <a:ext cx="43815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2" name="Straight Connector 1461">
            <a:extLst>
              <a:ext uri="{FF2B5EF4-FFF2-40B4-BE49-F238E27FC236}">
                <a16:creationId xmlns:a16="http://schemas.microsoft.com/office/drawing/2014/main" id="{00000000-0008-0000-0000-0000B6050000}"/>
              </a:ext>
            </a:extLst>
          </xdr:cNvPr>
          <xdr:cNvCxnSpPr/>
        </xdr:nvCxnSpPr>
        <xdr:spPr>
          <a:xfrm rot="10800000">
            <a:off x="3501390" y="80724374"/>
            <a:ext cx="140208"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234798</xdr:colOff>
      <xdr:row>458</xdr:row>
      <xdr:rowOff>16566</xdr:rowOff>
    </xdr:from>
    <xdr:to>
      <xdr:col>8</xdr:col>
      <xdr:colOff>298173</xdr:colOff>
      <xdr:row>461</xdr:row>
      <xdr:rowOff>8283</xdr:rowOff>
    </xdr:to>
    <xdr:sp macro="" textlink="">
      <xdr:nvSpPr>
        <xdr:cNvPr id="1463" name="Rectangle 1462">
          <a:extLst>
            <a:ext uri="{FF2B5EF4-FFF2-40B4-BE49-F238E27FC236}">
              <a16:creationId xmlns:a16="http://schemas.microsoft.com/office/drawing/2014/main" id="{00000000-0008-0000-0000-0000B7050000}"/>
            </a:ext>
          </a:extLst>
        </xdr:cNvPr>
        <xdr:cNvSpPr/>
      </xdr:nvSpPr>
      <xdr:spPr>
        <a:xfrm>
          <a:off x="3928841" y="80929370"/>
          <a:ext cx="1289202" cy="56321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430696</xdr:colOff>
      <xdr:row>459</xdr:row>
      <xdr:rowOff>8281</xdr:rowOff>
    </xdr:from>
    <xdr:to>
      <xdr:col>8</xdr:col>
      <xdr:colOff>132521</xdr:colOff>
      <xdr:row>459</xdr:row>
      <xdr:rowOff>9869</xdr:rowOff>
    </xdr:to>
    <xdr:cxnSp macro="">
      <xdr:nvCxnSpPr>
        <xdr:cNvPr id="1471" name="Straight Connector 1470">
          <a:extLst>
            <a:ext uri="{FF2B5EF4-FFF2-40B4-BE49-F238E27FC236}">
              <a16:creationId xmlns:a16="http://schemas.microsoft.com/office/drawing/2014/main" id="{00000000-0008-0000-0000-0000BF050000}"/>
            </a:ext>
          </a:extLst>
        </xdr:cNvPr>
        <xdr:cNvCxnSpPr/>
      </xdr:nvCxnSpPr>
      <xdr:spPr>
        <a:xfrm>
          <a:off x="4124739" y="81111585"/>
          <a:ext cx="927652"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439809</xdr:colOff>
      <xdr:row>472</xdr:row>
      <xdr:rowOff>128380</xdr:rowOff>
    </xdr:from>
    <xdr:to>
      <xdr:col>2</xdr:col>
      <xdr:colOff>131696</xdr:colOff>
      <xdr:row>474</xdr:row>
      <xdr:rowOff>14080</xdr:rowOff>
    </xdr:to>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a:off x="439809" y="83708184"/>
          <a:ext cx="91771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b+b2+b3</a:t>
          </a:r>
        </a:p>
      </xdr:txBody>
    </xdr:sp>
    <xdr:clientData/>
  </xdr:twoCellAnchor>
  <xdr:twoCellAnchor>
    <xdr:from>
      <xdr:col>3</xdr:col>
      <xdr:colOff>352009</xdr:colOff>
      <xdr:row>472</xdr:row>
      <xdr:rowOff>123412</xdr:rowOff>
    </xdr:from>
    <xdr:to>
      <xdr:col>5</xdr:col>
      <xdr:colOff>43896</xdr:colOff>
      <xdr:row>474</xdr:row>
      <xdr:rowOff>9112</xdr:rowOff>
    </xdr:to>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a:off x="2207313" y="83703216"/>
          <a:ext cx="91771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b1+b2+b3</a:t>
          </a:r>
        </a:p>
      </xdr:txBody>
    </xdr:sp>
    <xdr:clientData/>
  </xdr:twoCellAnchor>
  <xdr:twoCellAnchor>
    <xdr:from>
      <xdr:col>1</xdr:col>
      <xdr:colOff>327170</xdr:colOff>
      <xdr:row>479</xdr:row>
      <xdr:rowOff>103988</xdr:rowOff>
    </xdr:from>
    <xdr:to>
      <xdr:col>2</xdr:col>
      <xdr:colOff>4</xdr:colOff>
      <xdr:row>480</xdr:row>
      <xdr:rowOff>180188</xdr:rowOff>
    </xdr:to>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a:off x="938084" y="84830505"/>
          <a:ext cx="28374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c</a:t>
          </a:r>
        </a:p>
      </xdr:txBody>
    </xdr:sp>
    <xdr:clientData/>
  </xdr:twoCellAnchor>
  <xdr:twoCellAnchor>
    <xdr:from>
      <xdr:col>7</xdr:col>
      <xdr:colOff>173113</xdr:colOff>
      <xdr:row>459</xdr:row>
      <xdr:rowOff>126723</xdr:rowOff>
    </xdr:from>
    <xdr:to>
      <xdr:col>7</xdr:col>
      <xdr:colOff>458860</xdr:colOff>
      <xdr:row>461</xdr:row>
      <xdr:rowOff>12423</xdr:rowOff>
    </xdr:to>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a:off x="4480070" y="81230027"/>
          <a:ext cx="285747"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d</a:t>
          </a:r>
        </a:p>
      </xdr:txBody>
    </xdr:sp>
    <xdr:clientData/>
  </xdr:twoCellAnchor>
  <xdr:twoCellAnchor>
    <xdr:from>
      <xdr:col>6</xdr:col>
      <xdr:colOff>326335</xdr:colOff>
      <xdr:row>472</xdr:row>
      <xdr:rowOff>185528</xdr:rowOff>
    </xdr:from>
    <xdr:to>
      <xdr:col>8</xdr:col>
      <xdr:colOff>28160</xdr:colOff>
      <xdr:row>472</xdr:row>
      <xdr:rowOff>187116</xdr:rowOff>
    </xdr:to>
    <xdr:cxnSp macro="">
      <xdr:nvCxnSpPr>
        <xdr:cNvPr id="1685" name="Straight Connector 1684">
          <a:extLst>
            <a:ext uri="{FF2B5EF4-FFF2-40B4-BE49-F238E27FC236}">
              <a16:creationId xmlns:a16="http://schemas.microsoft.com/office/drawing/2014/main" id="{00000000-0008-0000-0000-000095060000}"/>
            </a:ext>
          </a:extLst>
        </xdr:cNvPr>
        <xdr:cNvCxnSpPr/>
      </xdr:nvCxnSpPr>
      <xdr:spPr>
        <a:xfrm>
          <a:off x="4020378" y="83765332"/>
          <a:ext cx="927652"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43905</xdr:colOff>
      <xdr:row>473</xdr:row>
      <xdr:rowOff>138318</xdr:rowOff>
    </xdr:from>
    <xdr:to>
      <xdr:col>7</xdr:col>
      <xdr:colOff>329652</xdr:colOff>
      <xdr:row>475</xdr:row>
      <xdr:rowOff>24018</xdr:rowOff>
    </xdr:to>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a:off x="4350862" y="83908622"/>
          <a:ext cx="285747"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e</a:t>
          </a:r>
        </a:p>
      </xdr:txBody>
    </xdr:sp>
    <xdr:clientData/>
  </xdr:twoCellAnchor>
  <xdr:twoCellAnchor>
    <xdr:from>
      <xdr:col>6</xdr:col>
      <xdr:colOff>417447</xdr:colOff>
      <xdr:row>477</xdr:row>
      <xdr:rowOff>108936</xdr:rowOff>
    </xdr:from>
    <xdr:to>
      <xdr:col>8</xdr:col>
      <xdr:colOff>314739</xdr:colOff>
      <xdr:row>480</xdr:row>
      <xdr:rowOff>65690</xdr:rowOff>
    </xdr:to>
    <xdr:sp macro="" textlink="">
      <xdr:nvSpPr>
        <xdr:cNvPr id="1687" name="Rectangle 1686">
          <a:extLst>
            <a:ext uri="{FF2B5EF4-FFF2-40B4-BE49-F238E27FC236}">
              <a16:creationId xmlns:a16="http://schemas.microsoft.com/office/drawing/2014/main" id="{00000000-0008-0000-0000-000097060000}"/>
            </a:ext>
          </a:extLst>
        </xdr:cNvPr>
        <xdr:cNvSpPr/>
      </xdr:nvSpPr>
      <xdr:spPr>
        <a:xfrm rot="16200000">
          <a:off x="4398070" y="84007934"/>
          <a:ext cx="528254" cy="111911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179740</xdr:colOff>
      <xdr:row>478</xdr:row>
      <xdr:rowOff>131634</xdr:rowOff>
    </xdr:from>
    <xdr:to>
      <xdr:col>7</xdr:col>
      <xdr:colOff>465487</xdr:colOff>
      <xdr:row>480</xdr:row>
      <xdr:rowOff>17334</xdr:rowOff>
    </xdr:to>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a:off x="4475843" y="84700496"/>
          <a:ext cx="285747"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f</a:t>
          </a:r>
        </a:p>
      </xdr:txBody>
    </xdr:sp>
    <xdr:clientData/>
  </xdr:twoCellAnchor>
  <xdr:twoCellAnchor>
    <xdr:from>
      <xdr:col>6</xdr:col>
      <xdr:colOff>487018</xdr:colOff>
      <xdr:row>477</xdr:row>
      <xdr:rowOff>162564</xdr:rowOff>
    </xdr:from>
    <xdr:to>
      <xdr:col>8</xdr:col>
      <xdr:colOff>188843</xdr:colOff>
      <xdr:row>477</xdr:row>
      <xdr:rowOff>164152</xdr:rowOff>
    </xdr:to>
    <xdr:cxnSp macro="">
      <xdr:nvCxnSpPr>
        <xdr:cNvPr id="1689" name="Straight Connector 1688">
          <a:extLst>
            <a:ext uri="{FF2B5EF4-FFF2-40B4-BE49-F238E27FC236}">
              <a16:creationId xmlns:a16="http://schemas.microsoft.com/office/drawing/2014/main" id="{00000000-0008-0000-0000-000099060000}"/>
            </a:ext>
          </a:extLst>
        </xdr:cNvPr>
        <xdr:cNvCxnSpPr/>
      </xdr:nvCxnSpPr>
      <xdr:spPr>
        <a:xfrm>
          <a:off x="4172208" y="84540926"/>
          <a:ext cx="923652"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237714</xdr:colOff>
      <xdr:row>465</xdr:row>
      <xdr:rowOff>140801</xdr:rowOff>
    </xdr:from>
    <xdr:to>
      <xdr:col>6</xdr:col>
      <xdr:colOff>33131</xdr:colOff>
      <xdr:row>467</xdr:row>
      <xdr:rowOff>82822</xdr:rowOff>
    </xdr:to>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a:off x="3318844" y="82387105"/>
          <a:ext cx="408330" cy="323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g</a:t>
          </a:r>
        </a:p>
      </xdr:txBody>
    </xdr:sp>
    <xdr:clientData/>
  </xdr:twoCellAnchor>
  <xdr:twoCellAnchor>
    <xdr:from>
      <xdr:col>7</xdr:col>
      <xdr:colOff>146609</xdr:colOff>
      <xdr:row>470</xdr:row>
      <xdr:rowOff>116783</xdr:rowOff>
    </xdr:from>
    <xdr:to>
      <xdr:col>7</xdr:col>
      <xdr:colOff>432356</xdr:colOff>
      <xdr:row>472</xdr:row>
      <xdr:rowOff>2483</xdr:rowOff>
    </xdr:to>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a:off x="4453566" y="83315587"/>
          <a:ext cx="285747"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h</a:t>
          </a:r>
        </a:p>
      </xdr:txBody>
    </xdr:sp>
    <xdr:clientData/>
  </xdr:twoCellAnchor>
  <xdr:twoCellAnchor>
    <xdr:from>
      <xdr:col>3</xdr:col>
      <xdr:colOff>588069</xdr:colOff>
      <xdr:row>476</xdr:row>
      <xdr:rowOff>164221</xdr:rowOff>
    </xdr:from>
    <xdr:to>
      <xdr:col>6</xdr:col>
      <xdr:colOff>364438</xdr:colOff>
      <xdr:row>480</xdr:row>
      <xdr:rowOff>137950</xdr:rowOff>
    </xdr:to>
    <xdr:sp macro="" textlink="">
      <xdr:nvSpPr>
        <xdr:cNvPr id="1694" name="Rectangle 1693">
          <a:extLst>
            <a:ext uri="{FF2B5EF4-FFF2-40B4-BE49-F238E27FC236}">
              <a16:creationId xmlns:a16="http://schemas.microsoft.com/office/drawing/2014/main" id="{00000000-0008-0000-0000-00009E060000}"/>
            </a:ext>
          </a:extLst>
        </xdr:cNvPr>
        <xdr:cNvSpPr/>
      </xdr:nvSpPr>
      <xdr:spPr>
        <a:xfrm rot="16200000">
          <a:off x="2877208" y="83731461"/>
          <a:ext cx="735729" cy="160911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438150</xdr:colOff>
      <xdr:row>478</xdr:row>
      <xdr:rowOff>76200</xdr:rowOff>
    </xdr:from>
    <xdr:to>
      <xdr:col>5</xdr:col>
      <xdr:colOff>600075</xdr:colOff>
      <xdr:row>480</xdr:row>
      <xdr:rowOff>9525</xdr:rowOff>
    </xdr:to>
    <xdr:grpSp>
      <xdr:nvGrpSpPr>
        <xdr:cNvPr id="3285" name="Group 1701">
          <a:extLst>
            <a:ext uri="{FF2B5EF4-FFF2-40B4-BE49-F238E27FC236}">
              <a16:creationId xmlns:a16="http://schemas.microsoft.com/office/drawing/2014/main" id="{00000000-0008-0000-0000-0000D50C0000}"/>
            </a:ext>
          </a:extLst>
        </xdr:cNvPr>
        <xdr:cNvGrpSpPr>
          <a:grpSpLocks/>
        </xdr:cNvGrpSpPr>
      </xdr:nvGrpSpPr>
      <xdr:grpSpPr bwMode="auto">
        <a:xfrm>
          <a:off x="2952750" y="93916500"/>
          <a:ext cx="771525" cy="314325"/>
          <a:chOff x="2492271" y="85012694"/>
          <a:chExt cx="779359" cy="315535"/>
        </a:xfrm>
      </xdr:grpSpPr>
      <xdr:cxnSp macro="">
        <xdr:nvCxnSpPr>
          <xdr:cNvPr id="1696" name="Straight Connector 1695">
            <a:extLst>
              <a:ext uri="{FF2B5EF4-FFF2-40B4-BE49-F238E27FC236}">
                <a16:creationId xmlns:a16="http://schemas.microsoft.com/office/drawing/2014/main" id="{00000000-0008-0000-0000-0000A0060000}"/>
              </a:ext>
            </a:extLst>
          </xdr:cNvPr>
          <xdr:cNvCxnSpPr/>
        </xdr:nvCxnSpPr>
        <xdr:spPr>
          <a:xfrm flipV="1">
            <a:off x="2501893" y="85012694"/>
            <a:ext cx="442599" cy="15298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98" name="Straight Connector 1697">
            <a:extLst>
              <a:ext uri="{FF2B5EF4-FFF2-40B4-BE49-F238E27FC236}">
                <a16:creationId xmlns:a16="http://schemas.microsoft.com/office/drawing/2014/main" id="{00000000-0008-0000-0000-0000A2060000}"/>
              </a:ext>
            </a:extLst>
          </xdr:cNvPr>
          <xdr:cNvCxnSpPr/>
        </xdr:nvCxnSpPr>
        <xdr:spPr>
          <a:xfrm rot="5400000">
            <a:off x="2415778" y="85251736"/>
            <a:ext cx="15298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00" name="Straight Connector 1699">
            <a:extLst>
              <a:ext uri="{FF2B5EF4-FFF2-40B4-BE49-F238E27FC236}">
                <a16:creationId xmlns:a16="http://schemas.microsoft.com/office/drawing/2014/main" id="{00000000-0008-0000-0000-0000A4060000}"/>
              </a:ext>
            </a:extLst>
          </xdr:cNvPr>
          <xdr:cNvCxnSpPr/>
        </xdr:nvCxnSpPr>
        <xdr:spPr>
          <a:xfrm>
            <a:off x="2944492" y="85012694"/>
            <a:ext cx="327138"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579191</xdr:colOff>
      <xdr:row>479</xdr:row>
      <xdr:rowOff>74399</xdr:rowOff>
    </xdr:from>
    <xdr:to>
      <xdr:col>6</xdr:col>
      <xdr:colOff>56551</xdr:colOff>
      <xdr:row>480</xdr:row>
      <xdr:rowOff>150599</xdr:rowOff>
    </xdr:to>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a:off x="3042553" y="84800916"/>
          <a:ext cx="699188"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t>i + b2/2</a:t>
          </a:r>
        </a:p>
      </xdr:txBody>
    </xdr:sp>
    <xdr:clientData/>
  </xdr:twoCellAnchor>
  <xdr:twoCellAnchor>
    <xdr:from>
      <xdr:col>5</xdr:col>
      <xdr:colOff>333375</xdr:colOff>
      <xdr:row>259</xdr:row>
      <xdr:rowOff>95250</xdr:rowOff>
    </xdr:from>
    <xdr:to>
      <xdr:col>5</xdr:col>
      <xdr:colOff>466725</xdr:colOff>
      <xdr:row>259</xdr:row>
      <xdr:rowOff>95250</xdr:rowOff>
    </xdr:to>
    <xdr:sp macro="" textlink="">
      <xdr:nvSpPr>
        <xdr:cNvPr id="3287" name="Line 8987">
          <a:extLst>
            <a:ext uri="{FF2B5EF4-FFF2-40B4-BE49-F238E27FC236}">
              <a16:creationId xmlns:a16="http://schemas.microsoft.com/office/drawing/2014/main" id="{00000000-0008-0000-0000-0000D70C0000}"/>
            </a:ext>
          </a:extLst>
        </xdr:cNvPr>
        <xdr:cNvSpPr>
          <a:spLocks noChangeShapeType="1"/>
        </xdr:cNvSpPr>
      </xdr:nvSpPr>
      <xdr:spPr bwMode="auto">
        <a:xfrm flipH="1">
          <a:off x="3400425" y="42405300"/>
          <a:ext cx="133350" cy="0"/>
        </a:xfrm>
        <a:prstGeom prst="line">
          <a:avLst/>
        </a:prstGeom>
        <a:noFill/>
        <a:ln w="9525">
          <a:solidFill>
            <a:srgbClr val="000000"/>
          </a:solidFill>
          <a:round/>
          <a:headEnd/>
          <a:tailEnd type="arrow" w="med" len="med"/>
        </a:ln>
      </xdr:spPr>
    </xdr:sp>
    <xdr:clientData/>
  </xdr:twoCellAnchor>
  <xdr:twoCellAnchor>
    <xdr:from>
      <xdr:col>5</xdr:col>
      <xdr:colOff>276225</xdr:colOff>
      <xdr:row>258</xdr:row>
      <xdr:rowOff>219075</xdr:rowOff>
    </xdr:from>
    <xdr:to>
      <xdr:col>5</xdr:col>
      <xdr:colOff>447675</xdr:colOff>
      <xdr:row>258</xdr:row>
      <xdr:rowOff>219075</xdr:rowOff>
    </xdr:to>
    <xdr:sp macro="" textlink="">
      <xdr:nvSpPr>
        <xdr:cNvPr id="3288" name="Line 8988">
          <a:extLst>
            <a:ext uri="{FF2B5EF4-FFF2-40B4-BE49-F238E27FC236}">
              <a16:creationId xmlns:a16="http://schemas.microsoft.com/office/drawing/2014/main" id="{00000000-0008-0000-0000-0000D80C0000}"/>
            </a:ext>
          </a:extLst>
        </xdr:cNvPr>
        <xdr:cNvSpPr>
          <a:spLocks noChangeShapeType="1"/>
        </xdr:cNvSpPr>
      </xdr:nvSpPr>
      <xdr:spPr bwMode="auto">
        <a:xfrm flipH="1">
          <a:off x="3343275" y="42291000"/>
          <a:ext cx="171450" cy="0"/>
        </a:xfrm>
        <a:prstGeom prst="line">
          <a:avLst/>
        </a:prstGeom>
        <a:noFill/>
        <a:ln w="9525">
          <a:solidFill>
            <a:srgbClr val="000000"/>
          </a:solidFill>
          <a:round/>
          <a:headEnd/>
          <a:tailEnd type="arrow" w="med" len="med"/>
        </a:ln>
      </xdr:spPr>
    </xdr:sp>
    <xdr:clientData/>
  </xdr:twoCellAnchor>
  <xdr:twoCellAnchor>
    <xdr:from>
      <xdr:col>5</xdr:col>
      <xdr:colOff>209550</xdr:colOff>
      <xdr:row>258</xdr:row>
      <xdr:rowOff>104775</xdr:rowOff>
    </xdr:from>
    <xdr:to>
      <xdr:col>5</xdr:col>
      <xdr:colOff>476250</xdr:colOff>
      <xdr:row>258</xdr:row>
      <xdr:rowOff>104775</xdr:rowOff>
    </xdr:to>
    <xdr:sp macro="" textlink="">
      <xdr:nvSpPr>
        <xdr:cNvPr id="3289" name="Line 8990">
          <a:extLst>
            <a:ext uri="{FF2B5EF4-FFF2-40B4-BE49-F238E27FC236}">
              <a16:creationId xmlns:a16="http://schemas.microsoft.com/office/drawing/2014/main" id="{00000000-0008-0000-0000-0000D90C0000}"/>
            </a:ext>
          </a:extLst>
        </xdr:cNvPr>
        <xdr:cNvSpPr>
          <a:spLocks noChangeShapeType="1"/>
        </xdr:cNvSpPr>
      </xdr:nvSpPr>
      <xdr:spPr bwMode="auto">
        <a:xfrm flipH="1">
          <a:off x="3276600" y="42176700"/>
          <a:ext cx="266700" cy="0"/>
        </a:xfrm>
        <a:prstGeom prst="line">
          <a:avLst/>
        </a:prstGeom>
        <a:noFill/>
        <a:ln w="9525">
          <a:solidFill>
            <a:srgbClr val="000000"/>
          </a:solidFill>
          <a:round/>
          <a:headEnd/>
          <a:tailEnd type="arrow" w="med" len="med"/>
        </a:ln>
      </xdr:spPr>
    </xdr:sp>
    <xdr:clientData/>
  </xdr:twoCellAnchor>
  <xdr:twoCellAnchor>
    <xdr:from>
      <xdr:col>5</xdr:col>
      <xdr:colOff>123825</xdr:colOff>
      <xdr:row>257</xdr:row>
      <xdr:rowOff>228600</xdr:rowOff>
    </xdr:from>
    <xdr:to>
      <xdr:col>5</xdr:col>
      <xdr:colOff>485775</xdr:colOff>
      <xdr:row>257</xdr:row>
      <xdr:rowOff>228600</xdr:rowOff>
    </xdr:to>
    <xdr:sp macro="" textlink="">
      <xdr:nvSpPr>
        <xdr:cNvPr id="3290" name="Line 8992">
          <a:extLst>
            <a:ext uri="{FF2B5EF4-FFF2-40B4-BE49-F238E27FC236}">
              <a16:creationId xmlns:a16="http://schemas.microsoft.com/office/drawing/2014/main" id="{00000000-0008-0000-0000-0000DA0C0000}"/>
            </a:ext>
          </a:extLst>
        </xdr:cNvPr>
        <xdr:cNvSpPr>
          <a:spLocks noChangeShapeType="1"/>
        </xdr:cNvSpPr>
      </xdr:nvSpPr>
      <xdr:spPr bwMode="auto">
        <a:xfrm flipH="1">
          <a:off x="3190875" y="42062400"/>
          <a:ext cx="361950" cy="0"/>
        </a:xfrm>
        <a:prstGeom prst="line">
          <a:avLst/>
        </a:prstGeom>
        <a:noFill/>
        <a:ln w="9525">
          <a:solidFill>
            <a:srgbClr val="000000"/>
          </a:solidFill>
          <a:round/>
          <a:headEnd/>
          <a:tailEnd type="arrow" w="med" len="med"/>
        </a:ln>
      </xdr:spPr>
    </xdr:sp>
    <xdr:clientData/>
  </xdr:twoCellAnchor>
  <xdr:twoCellAnchor>
    <xdr:from>
      <xdr:col>2</xdr:col>
      <xdr:colOff>380206</xdr:colOff>
      <xdr:row>222</xdr:row>
      <xdr:rowOff>91902</xdr:rowOff>
    </xdr:from>
    <xdr:to>
      <xdr:col>2</xdr:col>
      <xdr:colOff>381794</xdr:colOff>
      <xdr:row>228</xdr:row>
      <xdr:rowOff>42207</xdr:rowOff>
    </xdr:to>
    <xdr:cxnSp macro="">
      <xdr:nvCxnSpPr>
        <xdr:cNvPr id="1446" name="Straight Connector 1445">
          <a:extLst>
            <a:ext uri="{FF2B5EF4-FFF2-40B4-BE49-F238E27FC236}">
              <a16:creationId xmlns:a16="http://schemas.microsoft.com/office/drawing/2014/main" id="{00000000-0008-0000-0000-0000A6050000}"/>
            </a:ext>
          </a:extLst>
        </xdr:cNvPr>
        <xdr:cNvCxnSpPr/>
      </xdr:nvCxnSpPr>
      <xdr:spPr>
        <a:xfrm rot="5400000">
          <a:off x="985630" y="34521913"/>
          <a:ext cx="1242392" cy="1588"/>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541734</xdr:colOff>
      <xdr:row>150</xdr:row>
      <xdr:rowOff>41672</xdr:rowOff>
    </xdr:from>
    <xdr:to>
      <xdr:col>3</xdr:col>
      <xdr:colOff>543322</xdr:colOff>
      <xdr:row>153</xdr:row>
      <xdr:rowOff>96323</xdr:rowOff>
    </xdr:to>
    <xdr:cxnSp macro="">
      <xdr:nvCxnSpPr>
        <xdr:cNvPr id="1280" name="Straight Connector 1279">
          <a:extLst>
            <a:ext uri="{FF2B5EF4-FFF2-40B4-BE49-F238E27FC236}">
              <a16:creationId xmlns:a16="http://schemas.microsoft.com/office/drawing/2014/main" id="{00000000-0008-0000-0000-000000050000}"/>
            </a:ext>
          </a:extLst>
        </xdr:cNvPr>
        <xdr:cNvCxnSpPr/>
      </xdr:nvCxnSpPr>
      <xdr:spPr>
        <a:xfrm rot="5400000">
          <a:off x="2074921" y="21023204"/>
          <a:ext cx="626151" cy="1588"/>
        </a:xfrm>
        <a:prstGeom prst="line">
          <a:avLst/>
        </a:prstGeom>
        <a:ln w="19050">
          <a:headEnd type="oval" w="med" len="med"/>
          <a:tailEnd type="oval"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180975</xdr:colOff>
      <xdr:row>98</xdr:row>
      <xdr:rowOff>1</xdr:rowOff>
    </xdr:from>
    <xdr:to>
      <xdr:col>7</xdr:col>
      <xdr:colOff>485775</xdr:colOff>
      <xdr:row>117</xdr:row>
      <xdr:rowOff>78829</xdr:rowOff>
    </xdr:to>
    <xdr:grpSp>
      <xdr:nvGrpSpPr>
        <xdr:cNvPr id="3293" name="Group 1698">
          <a:extLst>
            <a:ext uri="{FF2B5EF4-FFF2-40B4-BE49-F238E27FC236}">
              <a16:creationId xmlns:a16="http://schemas.microsoft.com/office/drawing/2014/main" id="{00000000-0008-0000-0000-0000DD0C0000}"/>
            </a:ext>
          </a:extLst>
        </xdr:cNvPr>
        <xdr:cNvGrpSpPr>
          <a:grpSpLocks/>
        </xdr:cNvGrpSpPr>
      </xdr:nvGrpSpPr>
      <xdr:grpSpPr bwMode="auto">
        <a:xfrm>
          <a:off x="180975" y="19411951"/>
          <a:ext cx="4648200" cy="3698328"/>
          <a:chOff x="184973" y="10008577"/>
          <a:chExt cx="4582621" cy="3685883"/>
        </a:xfrm>
      </xdr:grpSpPr>
      <xdr:sp macro="" textlink="">
        <xdr:nvSpPr>
          <xdr:cNvPr id="353" name="Text Box 140">
            <a:extLst>
              <a:ext uri="{FF2B5EF4-FFF2-40B4-BE49-F238E27FC236}">
                <a16:creationId xmlns:a16="http://schemas.microsoft.com/office/drawing/2014/main" id="{00000000-0008-0000-0000-000061010000}"/>
              </a:ext>
            </a:extLst>
          </xdr:cNvPr>
          <xdr:cNvSpPr txBox="1">
            <a:spLocks noChangeArrowheads="1"/>
          </xdr:cNvSpPr>
        </xdr:nvSpPr>
        <xdr:spPr bwMode="auto">
          <a:xfrm>
            <a:off x="4520399" y="11741990"/>
            <a:ext cx="247195" cy="22858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54" name="Text Box 158">
            <a:extLst>
              <a:ext uri="{FF2B5EF4-FFF2-40B4-BE49-F238E27FC236}">
                <a16:creationId xmlns:a16="http://schemas.microsoft.com/office/drawing/2014/main" id="{00000000-0008-0000-0000-000062010000}"/>
              </a:ext>
            </a:extLst>
          </xdr:cNvPr>
          <xdr:cNvSpPr txBox="1">
            <a:spLocks noChangeArrowheads="1"/>
          </xdr:cNvSpPr>
        </xdr:nvSpPr>
        <xdr:spPr bwMode="auto">
          <a:xfrm>
            <a:off x="2799539" y="10008577"/>
            <a:ext cx="294733" cy="3047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55" name="Text Box 158">
            <a:extLst>
              <a:ext uri="{FF2B5EF4-FFF2-40B4-BE49-F238E27FC236}">
                <a16:creationId xmlns:a16="http://schemas.microsoft.com/office/drawing/2014/main" id="{00000000-0008-0000-0000-000063010000}"/>
              </a:ext>
            </a:extLst>
          </xdr:cNvPr>
          <xdr:cNvSpPr txBox="1">
            <a:spLocks noChangeArrowheads="1"/>
          </xdr:cNvSpPr>
        </xdr:nvSpPr>
        <xdr:spPr bwMode="auto">
          <a:xfrm>
            <a:off x="2153028" y="10008577"/>
            <a:ext cx="304240" cy="3047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56" name="Text Box 158">
            <a:extLst>
              <a:ext uri="{FF2B5EF4-FFF2-40B4-BE49-F238E27FC236}">
                <a16:creationId xmlns:a16="http://schemas.microsoft.com/office/drawing/2014/main" id="{00000000-0008-0000-0000-000064010000}"/>
              </a:ext>
            </a:extLst>
          </xdr:cNvPr>
          <xdr:cNvSpPr txBox="1">
            <a:spLocks noChangeArrowheads="1"/>
          </xdr:cNvSpPr>
        </xdr:nvSpPr>
        <xdr:spPr bwMode="auto">
          <a:xfrm>
            <a:off x="1620607" y="10018101"/>
            <a:ext cx="313748" cy="314300"/>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60" name="Text Box 112">
            <a:extLst>
              <a:ext uri="{FF2B5EF4-FFF2-40B4-BE49-F238E27FC236}">
                <a16:creationId xmlns:a16="http://schemas.microsoft.com/office/drawing/2014/main" id="{00000000-0008-0000-0000-000068010000}"/>
              </a:ext>
            </a:extLst>
          </xdr:cNvPr>
          <xdr:cNvSpPr txBox="1">
            <a:spLocks noChangeArrowheads="1"/>
          </xdr:cNvSpPr>
        </xdr:nvSpPr>
        <xdr:spPr bwMode="auto">
          <a:xfrm>
            <a:off x="2048445" y="13446830"/>
            <a:ext cx="275718" cy="22858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02" name="Rectangle 4">
            <a:extLst>
              <a:ext uri="{FF2B5EF4-FFF2-40B4-BE49-F238E27FC236}">
                <a16:creationId xmlns:a16="http://schemas.microsoft.com/office/drawing/2014/main" id="{00000000-0008-0000-0000-0000E60C0000}"/>
              </a:ext>
            </a:extLst>
          </xdr:cNvPr>
          <xdr:cNvSpPr>
            <a:spLocks noChangeArrowheads="1"/>
          </xdr:cNvSpPr>
        </xdr:nvSpPr>
        <xdr:spPr bwMode="auto">
          <a:xfrm>
            <a:off x="1874863" y="10619922"/>
            <a:ext cx="281649" cy="2003332"/>
          </a:xfrm>
          <a:prstGeom prst="rect">
            <a:avLst/>
          </a:prstGeom>
          <a:solidFill>
            <a:srgbClr val="FFFFFF"/>
          </a:solidFill>
          <a:ln w="9525">
            <a:solidFill>
              <a:srgbClr val="000000"/>
            </a:solidFill>
            <a:miter lim="800000"/>
            <a:headEnd/>
            <a:tailEnd/>
          </a:ln>
        </xdr:spPr>
      </xdr:sp>
      <xdr:sp macro="" textlink="">
        <xdr:nvSpPr>
          <xdr:cNvPr id="3303" name="AutoShape 5">
            <a:extLst>
              <a:ext uri="{FF2B5EF4-FFF2-40B4-BE49-F238E27FC236}">
                <a16:creationId xmlns:a16="http://schemas.microsoft.com/office/drawing/2014/main" id="{00000000-0008-0000-0000-0000E70C0000}"/>
              </a:ext>
            </a:extLst>
          </xdr:cNvPr>
          <xdr:cNvSpPr>
            <a:spLocks noChangeArrowheads="1"/>
          </xdr:cNvSpPr>
        </xdr:nvSpPr>
        <xdr:spPr bwMode="auto">
          <a:xfrm>
            <a:off x="2156511" y="10610517"/>
            <a:ext cx="291360" cy="1815226"/>
          </a:xfrm>
          <a:prstGeom prst="rtTriangle">
            <a:avLst/>
          </a:prstGeom>
          <a:solidFill>
            <a:srgbClr val="FFFFFF"/>
          </a:solidFill>
          <a:ln w="9525">
            <a:solidFill>
              <a:srgbClr val="000000"/>
            </a:solidFill>
            <a:miter lim="800000"/>
            <a:headEnd/>
            <a:tailEnd/>
          </a:ln>
        </xdr:spPr>
      </xdr:sp>
      <xdr:sp macro="" textlink="">
        <xdr:nvSpPr>
          <xdr:cNvPr id="3304" name="AutoShape 6">
            <a:extLst>
              <a:ext uri="{FF2B5EF4-FFF2-40B4-BE49-F238E27FC236}">
                <a16:creationId xmlns:a16="http://schemas.microsoft.com/office/drawing/2014/main" id="{00000000-0008-0000-0000-0000E80C0000}"/>
              </a:ext>
            </a:extLst>
          </xdr:cNvPr>
          <xdr:cNvSpPr>
            <a:spLocks noChangeArrowheads="1"/>
          </xdr:cNvSpPr>
        </xdr:nvSpPr>
        <xdr:spPr bwMode="auto">
          <a:xfrm flipH="1">
            <a:off x="1554366" y="10619922"/>
            <a:ext cx="320496" cy="1805820"/>
          </a:xfrm>
          <a:prstGeom prst="rtTriangle">
            <a:avLst/>
          </a:prstGeom>
          <a:solidFill>
            <a:srgbClr val="FFFFFF"/>
          </a:solidFill>
          <a:ln w="9525">
            <a:solidFill>
              <a:srgbClr val="000000"/>
            </a:solidFill>
            <a:miter lim="800000"/>
            <a:headEnd/>
            <a:tailEnd/>
          </a:ln>
        </xdr:spPr>
      </xdr:sp>
      <xdr:sp macro="" textlink="">
        <xdr:nvSpPr>
          <xdr:cNvPr id="3305" name="Rectangle 13">
            <a:extLst>
              <a:ext uri="{FF2B5EF4-FFF2-40B4-BE49-F238E27FC236}">
                <a16:creationId xmlns:a16="http://schemas.microsoft.com/office/drawing/2014/main" id="{00000000-0008-0000-0000-0000E90C0000}"/>
              </a:ext>
            </a:extLst>
          </xdr:cNvPr>
          <xdr:cNvSpPr>
            <a:spLocks noChangeArrowheads="1"/>
          </xdr:cNvSpPr>
        </xdr:nvSpPr>
        <xdr:spPr bwMode="auto">
          <a:xfrm>
            <a:off x="1554366" y="12425743"/>
            <a:ext cx="893505" cy="291565"/>
          </a:xfrm>
          <a:prstGeom prst="rect">
            <a:avLst/>
          </a:prstGeom>
          <a:solidFill>
            <a:srgbClr val="FFFFFF"/>
          </a:solidFill>
          <a:ln w="9525">
            <a:solidFill>
              <a:srgbClr val="000000"/>
            </a:solidFill>
            <a:miter lim="800000"/>
            <a:headEnd/>
            <a:tailEnd/>
          </a:ln>
        </xdr:spPr>
      </xdr:sp>
      <xdr:sp macro="" textlink="">
        <xdr:nvSpPr>
          <xdr:cNvPr id="3306" name="Rectangle 17">
            <a:extLst>
              <a:ext uri="{FF2B5EF4-FFF2-40B4-BE49-F238E27FC236}">
                <a16:creationId xmlns:a16="http://schemas.microsoft.com/office/drawing/2014/main" id="{00000000-0008-0000-0000-0000EA0C0000}"/>
              </a:ext>
            </a:extLst>
          </xdr:cNvPr>
          <xdr:cNvSpPr>
            <a:spLocks noChangeArrowheads="1"/>
          </xdr:cNvSpPr>
        </xdr:nvSpPr>
        <xdr:spPr bwMode="auto">
          <a:xfrm>
            <a:off x="660861" y="12717308"/>
            <a:ext cx="3059284" cy="338591"/>
          </a:xfrm>
          <a:prstGeom prst="rect">
            <a:avLst/>
          </a:prstGeom>
          <a:solidFill>
            <a:srgbClr val="FFFFFF"/>
          </a:solidFill>
          <a:ln w="9525">
            <a:solidFill>
              <a:srgbClr val="000000"/>
            </a:solidFill>
            <a:miter lim="800000"/>
            <a:headEnd/>
            <a:tailEnd/>
          </a:ln>
        </xdr:spPr>
      </xdr:sp>
      <xdr:sp macro="" textlink="">
        <xdr:nvSpPr>
          <xdr:cNvPr id="3307" name="Line 18">
            <a:extLst>
              <a:ext uri="{FF2B5EF4-FFF2-40B4-BE49-F238E27FC236}">
                <a16:creationId xmlns:a16="http://schemas.microsoft.com/office/drawing/2014/main" id="{00000000-0008-0000-0000-0000EB0C0000}"/>
              </a:ext>
            </a:extLst>
          </xdr:cNvPr>
          <xdr:cNvSpPr>
            <a:spLocks noChangeShapeType="1"/>
          </xdr:cNvSpPr>
        </xdr:nvSpPr>
        <xdr:spPr bwMode="auto">
          <a:xfrm flipH="1">
            <a:off x="660861" y="12425743"/>
            <a:ext cx="893505" cy="282159"/>
          </a:xfrm>
          <a:prstGeom prst="line">
            <a:avLst/>
          </a:prstGeom>
          <a:noFill/>
          <a:ln w="9525">
            <a:solidFill>
              <a:srgbClr val="000000"/>
            </a:solidFill>
            <a:round/>
            <a:headEnd/>
            <a:tailEnd/>
          </a:ln>
        </xdr:spPr>
      </xdr:sp>
      <xdr:sp macro="" textlink="">
        <xdr:nvSpPr>
          <xdr:cNvPr id="3308" name="Line 19">
            <a:extLst>
              <a:ext uri="{FF2B5EF4-FFF2-40B4-BE49-F238E27FC236}">
                <a16:creationId xmlns:a16="http://schemas.microsoft.com/office/drawing/2014/main" id="{00000000-0008-0000-0000-0000EC0C0000}"/>
              </a:ext>
            </a:extLst>
          </xdr:cNvPr>
          <xdr:cNvSpPr>
            <a:spLocks noChangeShapeType="1"/>
          </xdr:cNvSpPr>
        </xdr:nvSpPr>
        <xdr:spPr bwMode="auto">
          <a:xfrm>
            <a:off x="2457584" y="12425743"/>
            <a:ext cx="1252850" cy="282159"/>
          </a:xfrm>
          <a:prstGeom prst="line">
            <a:avLst/>
          </a:prstGeom>
          <a:noFill/>
          <a:ln w="9525">
            <a:solidFill>
              <a:srgbClr val="000000"/>
            </a:solidFill>
            <a:round/>
            <a:headEnd/>
            <a:tailEnd/>
          </a:ln>
        </xdr:spPr>
      </xdr:sp>
      <xdr:sp macro="" textlink="">
        <xdr:nvSpPr>
          <xdr:cNvPr id="368" name="Text Box 20">
            <a:extLst>
              <a:ext uri="{FF2B5EF4-FFF2-40B4-BE49-F238E27FC236}">
                <a16:creationId xmlns:a16="http://schemas.microsoft.com/office/drawing/2014/main" id="{00000000-0008-0000-0000-000070010000}"/>
              </a:ext>
            </a:extLst>
          </xdr:cNvPr>
          <xdr:cNvSpPr txBox="1">
            <a:spLocks noChangeArrowheads="1"/>
          </xdr:cNvSpPr>
        </xdr:nvSpPr>
        <xdr:spPr bwMode="auto">
          <a:xfrm>
            <a:off x="1943863" y="12846802"/>
            <a:ext cx="142613" cy="13333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7</a:t>
            </a:r>
          </a:p>
        </xdr:txBody>
      </xdr:sp>
      <xdr:sp macro="" textlink="">
        <xdr:nvSpPr>
          <xdr:cNvPr id="369" name="Text Box 21">
            <a:extLst>
              <a:ext uri="{FF2B5EF4-FFF2-40B4-BE49-F238E27FC236}">
                <a16:creationId xmlns:a16="http://schemas.microsoft.com/office/drawing/2014/main" id="{00000000-0008-0000-0000-000071010000}"/>
              </a:ext>
            </a:extLst>
          </xdr:cNvPr>
          <xdr:cNvSpPr txBox="1">
            <a:spLocks noChangeArrowheads="1"/>
          </xdr:cNvSpPr>
        </xdr:nvSpPr>
        <xdr:spPr bwMode="auto">
          <a:xfrm>
            <a:off x="1915340" y="11599126"/>
            <a:ext cx="199658" cy="19048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1</a:t>
            </a:r>
          </a:p>
        </xdr:txBody>
      </xdr:sp>
      <xdr:sp macro="" textlink="">
        <xdr:nvSpPr>
          <xdr:cNvPr id="370" name="Text Box 22">
            <a:extLst>
              <a:ext uri="{FF2B5EF4-FFF2-40B4-BE49-F238E27FC236}">
                <a16:creationId xmlns:a16="http://schemas.microsoft.com/office/drawing/2014/main" id="{00000000-0008-0000-0000-000072010000}"/>
              </a:ext>
            </a:extLst>
          </xdr:cNvPr>
          <xdr:cNvSpPr txBox="1">
            <a:spLocks noChangeArrowheads="1"/>
          </xdr:cNvSpPr>
        </xdr:nvSpPr>
        <xdr:spPr bwMode="auto">
          <a:xfrm>
            <a:off x="2172043" y="11999144"/>
            <a:ext cx="161628" cy="20953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2</a:t>
            </a:r>
          </a:p>
        </xdr:txBody>
      </xdr:sp>
      <xdr:sp macro="" textlink="">
        <xdr:nvSpPr>
          <xdr:cNvPr id="371" name="Text Box 23">
            <a:extLst>
              <a:ext uri="{FF2B5EF4-FFF2-40B4-BE49-F238E27FC236}">
                <a16:creationId xmlns:a16="http://schemas.microsoft.com/office/drawing/2014/main" id="{00000000-0008-0000-0000-000073010000}"/>
              </a:ext>
            </a:extLst>
          </xdr:cNvPr>
          <xdr:cNvSpPr txBox="1">
            <a:spLocks noChangeArrowheads="1"/>
          </xdr:cNvSpPr>
        </xdr:nvSpPr>
        <xdr:spPr bwMode="auto">
          <a:xfrm>
            <a:off x="1677652" y="11999144"/>
            <a:ext cx="152120" cy="20953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3</a:t>
            </a:r>
          </a:p>
        </xdr:txBody>
      </xdr:sp>
      <xdr:sp macro="" textlink="">
        <xdr:nvSpPr>
          <xdr:cNvPr id="372" name="Text Box 24">
            <a:extLst>
              <a:ext uri="{FF2B5EF4-FFF2-40B4-BE49-F238E27FC236}">
                <a16:creationId xmlns:a16="http://schemas.microsoft.com/office/drawing/2014/main" id="{00000000-0008-0000-0000-000074010000}"/>
              </a:ext>
            </a:extLst>
          </xdr:cNvPr>
          <xdr:cNvSpPr txBox="1">
            <a:spLocks noChangeArrowheads="1"/>
          </xdr:cNvSpPr>
        </xdr:nvSpPr>
        <xdr:spPr bwMode="auto">
          <a:xfrm>
            <a:off x="1943863" y="12503929"/>
            <a:ext cx="142613" cy="20953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5</a:t>
            </a:r>
          </a:p>
        </xdr:txBody>
      </xdr:sp>
      <xdr:sp macro="" textlink="">
        <xdr:nvSpPr>
          <xdr:cNvPr id="373" name="Text Box 25">
            <a:extLst>
              <a:ext uri="{FF2B5EF4-FFF2-40B4-BE49-F238E27FC236}">
                <a16:creationId xmlns:a16="http://schemas.microsoft.com/office/drawing/2014/main" id="{00000000-0008-0000-0000-000075010000}"/>
              </a:ext>
            </a:extLst>
          </xdr:cNvPr>
          <xdr:cNvSpPr txBox="1">
            <a:spLocks noChangeArrowheads="1"/>
          </xdr:cNvSpPr>
        </xdr:nvSpPr>
        <xdr:spPr bwMode="auto">
          <a:xfrm>
            <a:off x="2542836" y="12503929"/>
            <a:ext cx="152120" cy="13333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4</a:t>
            </a:r>
          </a:p>
        </xdr:txBody>
      </xdr:sp>
      <xdr:sp macro="" textlink="">
        <xdr:nvSpPr>
          <xdr:cNvPr id="374" name="Text Box 26">
            <a:extLst>
              <a:ext uri="{FF2B5EF4-FFF2-40B4-BE49-F238E27FC236}">
                <a16:creationId xmlns:a16="http://schemas.microsoft.com/office/drawing/2014/main" id="{00000000-0008-0000-0000-000076010000}"/>
              </a:ext>
            </a:extLst>
          </xdr:cNvPr>
          <xdr:cNvSpPr txBox="1">
            <a:spLocks noChangeArrowheads="1"/>
          </xdr:cNvSpPr>
        </xdr:nvSpPr>
        <xdr:spPr bwMode="auto">
          <a:xfrm>
            <a:off x="1240307" y="12513454"/>
            <a:ext cx="152120" cy="23810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6</a:t>
            </a:r>
          </a:p>
        </xdr:txBody>
      </xdr:sp>
      <xdr:sp macro="" textlink="">
        <xdr:nvSpPr>
          <xdr:cNvPr id="3316" name="Line 28">
            <a:extLst>
              <a:ext uri="{FF2B5EF4-FFF2-40B4-BE49-F238E27FC236}">
                <a16:creationId xmlns:a16="http://schemas.microsoft.com/office/drawing/2014/main" id="{00000000-0008-0000-0000-0000F40C0000}"/>
              </a:ext>
            </a:extLst>
          </xdr:cNvPr>
          <xdr:cNvSpPr>
            <a:spLocks noChangeShapeType="1"/>
          </xdr:cNvSpPr>
        </xdr:nvSpPr>
        <xdr:spPr bwMode="auto">
          <a:xfrm>
            <a:off x="2156511" y="10610517"/>
            <a:ext cx="1563634" cy="0"/>
          </a:xfrm>
          <a:prstGeom prst="line">
            <a:avLst/>
          </a:prstGeom>
          <a:noFill/>
          <a:ln w="9525">
            <a:solidFill>
              <a:srgbClr val="000000"/>
            </a:solidFill>
            <a:round/>
            <a:headEnd/>
            <a:tailEnd/>
          </a:ln>
        </xdr:spPr>
      </xdr:sp>
      <xdr:sp macro="" textlink="">
        <xdr:nvSpPr>
          <xdr:cNvPr id="3317" name="Line 30">
            <a:extLst>
              <a:ext uri="{FF2B5EF4-FFF2-40B4-BE49-F238E27FC236}">
                <a16:creationId xmlns:a16="http://schemas.microsoft.com/office/drawing/2014/main" id="{00000000-0008-0000-0000-0000F50C0000}"/>
              </a:ext>
            </a:extLst>
          </xdr:cNvPr>
          <xdr:cNvSpPr>
            <a:spLocks noChangeShapeType="1"/>
          </xdr:cNvSpPr>
        </xdr:nvSpPr>
        <xdr:spPr bwMode="auto">
          <a:xfrm>
            <a:off x="2457584" y="12416338"/>
            <a:ext cx="1252850" cy="0"/>
          </a:xfrm>
          <a:prstGeom prst="line">
            <a:avLst/>
          </a:prstGeom>
          <a:noFill/>
          <a:ln w="9525">
            <a:solidFill>
              <a:srgbClr val="000000"/>
            </a:solidFill>
            <a:round/>
            <a:headEnd/>
            <a:tailEnd/>
          </a:ln>
        </xdr:spPr>
      </xdr:sp>
      <xdr:sp macro="" textlink="">
        <xdr:nvSpPr>
          <xdr:cNvPr id="3318" name="Line 31">
            <a:extLst>
              <a:ext uri="{FF2B5EF4-FFF2-40B4-BE49-F238E27FC236}">
                <a16:creationId xmlns:a16="http://schemas.microsoft.com/office/drawing/2014/main" id="{00000000-0008-0000-0000-0000F60C0000}"/>
              </a:ext>
            </a:extLst>
          </xdr:cNvPr>
          <xdr:cNvSpPr>
            <a:spLocks noChangeShapeType="1"/>
          </xdr:cNvSpPr>
        </xdr:nvSpPr>
        <xdr:spPr bwMode="auto">
          <a:xfrm flipV="1">
            <a:off x="3720145" y="10610517"/>
            <a:ext cx="0" cy="1805820"/>
          </a:xfrm>
          <a:prstGeom prst="line">
            <a:avLst/>
          </a:prstGeom>
          <a:noFill/>
          <a:ln w="9525">
            <a:solidFill>
              <a:srgbClr val="000000"/>
            </a:solidFill>
            <a:round/>
            <a:headEnd/>
            <a:tailEnd/>
          </a:ln>
        </xdr:spPr>
      </xdr:sp>
      <xdr:sp macro="" textlink="">
        <xdr:nvSpPr>
          <xdr:cNvPr id="3319" name="Line 32">
            <a:extLst>
              <a:ext uri="{FF2B5EF4-FFF2-40B4-BE49-F238E27FC236}">
                <a16:creationId xmlns:a16="http://schemas.microsoft.com/office/drawing/2014/main" id="{00000000-0008-0000-0000-0000F70C0000}"/>
              </a:ext>
            </a:extLst>
          </xdr:cNvPr>
          <xdr:cNvSpPr>
            <a:spLocks noChangeShapeType="1"/>
          </xdr:cNvSpPr>
        </xdr:nvSpPr>
        <xdr:spPr bwMode="auto">
          <a:xfrm flipV="1">
            <a:off x="3720145" y="12425743"/>
            <a:ext cx="0" cy="470266"/>
          </a:xfrm>
          <a:prstGeom prst="line">
            <a:avLst/>
          </a:prstGeom>
          <a:noFill/>
          <a:ln w="9525">
            <a:solidFill>
              <a:srgbClr val="000000"/>
            </a:solidFill>
            <a:round/>
            <a:headEnd/>
            <a:tailEnd/>
          </a:ln>
        </xdr:spPr>
      </xdr:sp>
      <xdr:sp macro="" textlink="">
        <xdr:nvSpPr>
          <xdr:cNvPr id="379" name="Text Box 34">
            <a:extLst>
              <a:ext uri="{FF2B5EF4-FFF2-40B4-BE49-F238E27FC236}">
                <a16:creationId xmlns:a16="http://schemas.microsoft.com/office/drawing/2014/main" id="{00000000-0008-0000-0000-00007B010000}"/>
              </a:ext>
            </a:extLst>
          </xdr:cNvPr>
          <xdr:cNvSpPr txBox="1">
            <a:spLocks noChangeArrowheads="1"/>
          </xdr:cNvSpPr>
        </xdr:nvSpPr>
        <xdr:spPr bwMode="auto">
          <a:xfrm>
            <a:off x="3436542" y="12437260"/>
            <a:ext cx="237688" cy="20000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10</a:t>
            </a:r>
          </a:p>
        </xdr:txBody>
      </xdr:sp>
      <xdr:sp macro="" textlink="">
        <xdr:nvSpPr>
          <xdr:cNvPr id="380" name="Text Box 35">
            <a:extLst>
              <a:ext uri="{FF2B5EF4-FFF2-40B4-BE49-F238E27FC236}">
                <a16:creationId xmlns:a16="http://schemas.microsoft.com/office/drawing/2014/main" id="{00000000-0008-0000-0000-00007C010000}"/>
              </a:ext>
            </a:extLst>
          </xdr:cNvPr>
          <xdr:cNvSpPr txBox="1">
            <a:spLocks noChangeArrowheads="1"/>
          </xdr:cNvSpPr>
        </xdr:nvSpPr>
        <xdr:spPr bwMode="auto">
          <a:xfrm>
            <a:off x="2980182" y="11446738"/>
            <a:ext cx="294733" cy="219058"/>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9</a:t>
            </a:r>
          </a:p>
        </xdr:txBody>
      </xdr:sp>
      <xdr:sp macro="" textlink="">
        <xdr:nvSpPr>
          <xdr:cNvPr id="381" name="Text Box 36">
            <a:extLst>
              <a:ext uri="{FF2B5EF4-FFF2-40B4-BE49-F238E27FC236}">
                <a16:creationId xmlns:a16="http://schemas.microsoft.com/office/drawing/2014/main" id="{00000000-0008-0000-0000-00007D010000}"/>
              </a:ext>
            </a:extLst>
          </xdr:cNvPr>
          <xdr:cNvSpPr txBox="1">
            <a:spLocks noChangeArrowheads="1"/>
          </xdr:cNvSpPr>
        </xdr:nvSpPr>
        <xdr:spPr bwMode="auto">
          <a:xfrm>
            <a:off x="2257611" y="10913380"/>
            <a:ext cx="180643" cy="33334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8</a:t>
            </a:r>
          </a:p>
        </xdr:txBody>
      </xdr:sp>
      <xdr:sp macro="" textlink="">
        <xdr:nvSpPr>
          <xdr:cNvPr id="382" name="Text Box 39">
            <a:extLst>
              <a:ext uri="{FF2B5EF4-FFF2-40B4-BE49-F238E27FC236}">
                <a16:creationId xmlns:a16="http://schemas.microsoft.com/office/drawing/2014/main" id="{00000000-0008-0000-0000-00007E010000}"/>
              </a:ext>
            </a:extLst>
          </xdr:cNvPr>
          <xdr:cNvSpPr txBox="1">
            <a:spLocks noChangeArrowheads="1"/>
          </xdr:cNvSpPr>
        </xdr:nvSpPr>
        <xdr:spPr bwMode="auto">
          <a:xfrm>
            <a:off x="184973" y="13065860"/>
            <a:ext cx="161628" cy="247630"/>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A</a:t>
            </a:r>
          </a:p>
        </xdr:txBody>
      </xdr:sp>
      <xdr:sp macro="" textlink="">
        <xdr:nvSpPr>
          <xdr:cNvPr id="383" name="Text Box 40">
            <a:extLst>
              <a:ext uri="{FF2B5EF4-FFF2-40B4-BE49-F238E27FC236}">
                <a16:creationId xmlns:a16="http://schemas.microsoft.com/office/drawing/2014/main" id="{00000000-0008-0000-0000-00007F010000}"/>
              </a:ext>
            </a:extLst>
          </xdr:cNvPr>
          <xdr:cNvSpPr txBox="1">
            <a:spLocks noChangeArrowheads="1"/>
          </xdr:cNvSpPr>
        </xdr:nvSpPr>
        <xdr:spPr bwMode="auto">
          <a:xfrm>
            <a:off x="1373412" y="12227726"/>
            <a:ext cx="142613" cy="17143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H</a:t>
            </a:r>
          </a:p>
        </xdr:txBody>
      </xdr:sp>
      <xdr:sp macro="" textlink="">
        <xdr:nvSpPr>
          <xdr:cNvPr id="384" name="Text Box 41">
            <a:extLst>
              <a:ext uri="{FF2B5EF4-FFF2-40B4-BE49-F238E27FC236}">
                <a16:creationId xmlns:a16="http://schemas.microsoft.com/office/drawing/2014/main" id="{00000000-0008-0000-0000-000080010000}"/>
              </a:ext>
            </a:extLst>
          </xdr:cNvPr>
          <xdr:cNvSpPr txBox="1">
            <a:spLocks noChangeArrowheads="1"/>
          </xdr:cNvSpPr>
        </xdr:nvSpPr>
        <xdr:spPr bwMode="auto">
          <a:xfrm>
            <a:off x="1810758" y="10399071"/>
            <a:ext cx="190150" cy="23810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G</a:t>
            </a:r>
          </a:p>
        </xdr:txBody>
      </xdr:sp>
      <xdr:sp macro="" textlink="">
        <xdr:nvSpPr>
          <xdr:cNvPr id="385" name="Text Box 42">
            <a:extLst>
              <a:ext uri="{FF2B5EF4-FFF2-40B4-BE49-F238E27FC236}">
                <a16:creationId xmlns:a16="http://schemas.microsoft.com/office/drawing/2014/main" id="{00000000-0008-0000-0000-000081010000}"/>
              </a:ext>
            </a:extLst>
          </xdr:cNvPr>
          <xdr:cNvSpPr txBox="1">
            <a:spLocks noChangeArrowheads="1"/>
          </xdr:cNvSpPr>
        </xdr:nvSpPr>
        <xdr:spPr bwMode="auto">
          <a:xfrm>
            <a:off x="2048445" y="10408595"/>
            <a:ext cx="152120" cy="30477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F</a:t>
            </a:r>
          </a:p>
        </xdr:txBody>
      </xdr:sp>
      <xdr:sp macro="" textlink="">
        <xdr:nvSpPr>
          <xdr:cNvPr id="386" name="Text Box 43">
            <a:extLst>
              <a:ext uri="{FF2B5EF4-FFF2-40B4-BE49-F238E27FC236}">
                <a16:creationId xmlns:a16="http://schemas.microsoft.com/office/drawing/2014/main" id="{00000000-0008-0000-0000-000082010000}"/>
              </a:ext>
            </a:extLst>
          </xdr:cNvPr>
          <xdr:cNvSpPr txBox="1">
            <a:spLocks noChangeArrowheads="1"/>
          </xdr:cNvSpPr>
        </xdr:nvSpPr>
        <xdr:spPr bwMode="auto">
          <a:xfrm>
            <a:off x="2485791" y="12189629"/>
            <a:ext cx="142613" cy="19048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E</a:t>
            </a:r>
          </a:p>
        </xdr:txBody>
      </xdr:sp>
      <xdr:sp macro="" textlink="">
        <xdr:nvSpPr>
          <xdr:cNvPr id="387" name="Text Box 44">
            <a:extLst>
              <a:ext uri="{FF2B5EF4-FFF2-40B4-BE49-F238E27FC236}">
                <a16:creationId xmlns:a16="http://schemas.microsoft.com/office/drawing/2014/main" id="{00000000-0008-0000-0000-000083010000}"/>
              </a:ext>
            </a:extLst>
          </xdr:cNvPr>
          <xdr:cNvSpPr txBox="1">
            <a:spLocks noChangeArrowheads="1"/>
          </xdr:cNvSpPr>
        </xdr:nvSpPr>
        <xdr:spPr bwMode="auto">
          <a:xfrm>
            <a:off x="194481" y="12484881"/>
            <a:ext cx="247195" cy="22858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D</a:t>
            </a:r>
          </a:p>
        </xdr:txBody>
      </xdr:sp>
      <xdr:sp macro="" textlink="">
        <xdr:nvSpPr>
          <xdr:cNvPr id="388" name="Text Box 45">
            <a:extLst>
              <a:ext uri="{FF2B5EF4-FFF2-40B4-BE49-F238E27FC236}">
                <a16:creationId xmlns:a16="http://schemas.microsoft.com/office/drawing/2014/main" id="{00000000-0008-0000-0000-000084010000}"/>
              </a:ext>
            </a:extLst>
          </xdr:cNvPr>
          <xdr:cNvSpPr txBox="1">
            <a:spLocks noChangeArrowheads="1"/>
          </xdr:cNvSpPr>
        </xdr:nvSpPr>
        <xdr:spPr bwMode="auto">
          <a:xfrm>
            <a:off x="3712260" y="12561075"/>
            <a:ext cx="161628" cy="180961"/>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C</a:t>
            </a:r>
          </a:p>
        </xdr:txBody>
      </xdr:sp>
      <xdr:sp macro="" textlink="">
        <xdr:nvSpPr>
          <xdr:cNvPr id="389" name="Text Box 46">
            <a:extLst>
              <a:ext uri="{FF2B5EF4-FFF2-40B4-BE49-F238E27FC236}">
                <a16:creationId xmlns:a16="http://schemas.microsoft.com/office/drawing/2014/main" id="{00000000-0008-0000-0000-000085010000}"/>
              </a:ext>
            </a:extLst>
          </xdr:cNvPr>
          <xdr:cNvSpPr txBox="1">
            <a:spLocks noChangeArrowheads="1"/>
          </xdr:cNvSpPr>
        </xdr:nvSpPr>
        <xdr:spPr bwMode="auto">
          <a:xfrm>
            <a:off x="3712260" y="13056336"/>
            <a:ext cx="247195" cy="238106"/>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B</a:t>
            </a:r>
          </a:p>
        </xdr:txBody>
      </xdr:sp>
      <xdr:sp macro="" textlink="">
        <xdr:nvSpPr>
          <xdr:cNvPr id="390" name="Text Box 57">
            <a:extLst>
              <a:ext uri="{FF2B5EF4-FFF2-40B4-BE49-F238E27FC236}">
                <a16:creationId xmlns:a16="http://schemas.microsoft.com/office/drawing/2014/main" id="{00000000-0008-0000-0000-000086010000}"/>
              </a:ext>
            </a:extLst>
          </xdr:cNvPr>
          <xdr:cNvSpPr txBox="1">
            <a:spLocks noChangeArrowheads="1"/>
          </xdr:cNvSpPr>
        </xdr:nvSpPr>
        <xdr:spPr bwMode="auto">
          <a:xfrm>
            <a:off x="2067460" y="13065860"/>
            <a:ext cx="199658" cy="25715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32" name="Line 108">
            <a:extLst>
              <a:ext uri="{FF2B5EF4-FFF2-40B4-BE49-F238E27FC236}">
                <a16:creationId xmlns:a16="http://schemas.microsoft.com/office/drawing/2014/main" id="{00000000-0008-0000-0000-0000040D0000}"/>
              </a:ext>
            </a:extLst>
          </xdr:cNvPr>
          <xdr:cNvSpPr>
            <a:spLocks noChangeShapeType="1"/>
          </xdr:cNvSpPr>
        </xdr:nvSpPr>
        <xdr:spPr bwMode="auto">
          <a:xfrm>
            <a:off x="1564079" y="13375680"/>
            <a:ext cx="883794" cy="0"/>
          </a:xfrm>
          <a:prstGeom prst="line">
            <a:avLst/>
          </a:prstGeom>
          <a:noFill/>
          <a:ln w="9525">
            <a:solidFill>
              <a:srgbClr val="000000"/>
            </a:solidFill>
            <a:round/>
            <a:headEnd type="none" w="sm" len="med"/>
            <a:tailEnd type="none" w="sm" len="med"/>
          </a:ln>
        </xdr:spPr>
      </xdr:sp>
      <xdr:sp macro="" textlink="">
        <xdr:nvSpPr>
          <xdr:cNvPr id="3333" name="Line 109">
            <a:extLst>
              <a:ext uri="{FF2B5EF4-FFF2-40B4-BE49-F238E27FC236}">
                <a16:creationId xmlns:a16="http://schemas.microsoft.com/office/drawing/2014/main" id="{00000000-0008-0000-0000-0000050D0000}"/>
              </a:ext>
            </a:extLst>
          </xdr:cNvPr>
          <xdr:cNvSpPr>
            <a:spLocks noChangeShapeType="1"/>
          </xdr:cNvSpPr>
        </xdr:nvSpPr>
        <xdr:spPr bwMode="auto">
          <a:xfrm>
            <a:off x="2447871" y="13375680"/>
            <a:ext cx="1262561" cy="0"/>
          </a:xfrm>
          <a:prstGeom prst="line">
            <a:avLst/>
          </a:prstGeom>
          <a:noFill/>
          <a:ln w="9525">
            <a:solidFill>
              <a:srgbClr val="000000"/>
            </a:solidFill>
            <a:round/>
            <a:headEnd type="none" w="sm" len="med"/>
            <a:tailEnd type="none" w="sm" len="med"/>
          </a:ln>
        </xdr:spPr>
      </xdr:sp>
      <xdr:sp macro="" textlink="">
        <xdr:nvSpPr>
          <xdr:cNvPr id="394" name="Text Box 110">
            <a:extLst>
              <a:ext uri="{FF2B5EF4-FFF2-40B4-BE49-F238E27FC236}">
                <a16:creationId xmlns:a16="http://schemas.microsoft.com/office/drawing/2014/main" id="{00000000-0008-0000-0000-00008A010000}"/>
              </a:ext>
            </a:extLst>
          </xdr:cNvPr>
          <xdr:cNvSpPr txBox="1">
            <a:spLocks noChangeArrowheads="1"/>
          </xdr:cNvSpPr>
        </xdr:nvSpPr>
        <xdr:spPr bwMode="auto">
          <a:xfrm>
            <a:off x="2856584" y="13065860"/>
            <a:ext cx="266210" cy="25715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95" name="Text Box 111">
            <a:extLst>
              <a:ext uri="{FF2B5EF4-FFF2-40B4-BE49-F238E27FC236}">
                <a16:creationId xmlns:a16="http://schemas.microsoft.com/office/drawing/2014/main" id="{00000000-0008-0000-0000-00008B010000}"/>
              </a:ext>
            </a:extLst>
          </xdr:cNvPr>
          <xdr:cNvSpPr txBox="1">
            <a:spLocks noChangeArrowheads="1"/>
          </xdr:cNvSpPr>
        </xdr:nvSpPr>
        <xdr:spPr bwMode="auto">
          <a:xfrm>
            <a:off x="964589" y="13065860"/>
            <a:ext cx="247195" cy="20953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36" name="Line 118">
            <a:extLst>
              <a:ext uri="{FF2B5EF4-FFF2-40B4-BE49-F238E27FC236}">
                <a16:creationId xmlns:a16="http://schemas.microsoft.com/office/drawing/2014/main" id="{00000000-0008-0000-0000-0000080D0000}"/>
              </a:ext>
            </a:extLst>
          </xdr:cNvPr>
          <xdr:cNvSpPr>
            <a:spLocks noChangeShapeType="1"/>
          </xdr:cNvSpPr>
        </xdr:nvSpPr>
        <xdr:spPr bwMode="auto">
          <a:xfrm>
            <a:off x="674296" y="13294473"/>
            <a:ext cx="0" cy="141080"/>
          </a:xfrm>
          <a:prstGeom prst="line">
            <a:avLst/>
          </a:prstGeom>
          <a:noFill/>
          <a:ln w="9525">
            <a:solidFill>
              <a:srgbClr val="000000"/>
            </a:solidFill>
            <a:round/>
            <a:headEnd/>
            <a:tailEnd/>
          </a:ln>
        </xdr:spPr>
      </xdr:sp>
      <xdr:sp macro="" textlink="">
        <xdr:nvSpPr>
          <xdr:cNvPr id="3337" name="Line 119">
            <a:extLst>
              <a:ext uri="{FF2B5EF4-FFF2-40B4-BE49-F238E27FC236}">
                <a16:creationId xmlns:a16="http://schemas.microsoft.com/office/drawing/2014/main" id="{00000000-0008-0000-0000-0000090D0000}"/>
              </a:ext>
            </a:extLst>
          </xdr:cNvPr>
          <xdr:cNvSpPr>
            <a:spLocks noChangeShapeType="1"/>
          </xdr:cNvSpPr>
        </xdr:nvSpPr>
        <xdr:spPr bwMode="auto">
          <a:xfrm>
            <a:off x="1554366" y="13283587"/>
            <a:ext cx="0" cy="141080"/>
          </a:xfrm>
          <a:prstGeom prst="line">
            <a:avLst/>
          </a:prstGeom>
          <a:noFill/>
          <a:ln w="9525">
            <a:solidFill>
              <a:srgbClr val="000000"/>
            </a:solidFill>
            <a:round/>
            <a:headEnd/>
            <a:tailEnd/>
          </a:ln>
        </xdr:spPr>
      </xdr:sp>
      <xdr:sp macro="" textlink="">
        <xdr:nvSpPr>
          <xdr:cNvPr id="3338" name="Line 120">
            <a:extLst>
              <a:ext uri="{FF2B5EF4-FFF2-40B4-BE49-F238E27FC236}">
                <a16:creationId xmlns:a16="http://schemas.microsoft.com/office/drawing/2014/main" id="{00000000-0008-0000-0000-00000A0D0000}"/>
              </a:ext>
            </a:extLst>
          </xdr:cNvPr>
          <xdr:cNvSpPr>
            <a:spLocks noChangeShapeType="1"/>
          </xdr:cNvSpPr>
        </xdr:nvSpPr>
        <xdr:spPr bwMode="auto">
          <a:xfrm>
            <a:off x="2457584" y="13294473"/>
            <a:ext cx="0" cy="141080"/>
          </a:xfrm>
          <a:prstGeom prst="line">
            <a:avLst/>
          </a:prstGeom>
          <a:noFill/>
          <a:ln w="9525">
            <a:solidFill>
              <a:srgbClr val="000000"/>
            </a:solidFill>
            <a:round/>
            <a:headEnd/>
            <a:tailEnd/>
          </a:ln>
        </xdr:spPr>
      </xdr:sp>
      <xdr:sp macro="" textlink="">
        <xdr:nvSpPr>
          <xdr:cNvPr id="3339" name="Line 121">
            <a:extLst>
              <a:ext uri="{FF2B5EF4-FFF2-40B4-BE49-F238E27FC236}">
                <a16:creationId xmlns:a16="http://schemas.microsoft.com/office/drawing/2014/main" id="{00000000-0008-0000-0000-00000B0D0000}"/>
              </a:ext>
            </a:extLst>
          </xdr:cNvPr>
          <xdr:cNvSpPr>
            <a:spLocks noChangeShapeType="1"/>
          </xdr:cNvSpPr>
        </xdr:nvSpPr>
        <xdr:spPr bwMode="auto">
          <a:xfrm>
            <a:off x="3705002" y="13294473"/>
            <a:ext cx="0" cy="141080"/>
          </a:xfrm>
          <a:prstGeom prst="line">
            <a:avLst/>
          </a:prstGeom>
          <a:noFill/>
          <a:ln w="9525">
            <a:solidFill>
              <a:srgbClr val="000000"/>
            </a:solidFill>
            <a:round/>
            <a:headEnd/>
            <a:tailEnd/>
          </a:ln>
        </xdr:spPr>
      </xdr:sp>
      <xdr:sp macro="" textlink="">
        <xdr:nvSpPr>
          <xdr:cNvPr id="3340" name="Line 122">
            <a:extLst>
              <a:ext uri="{FF2B5EF4-FFF2-40B4-BE49-F238E27FC236}">
                <a16:creationId xmlns:a16="http://schemas.microsoft.com/office/drawing/2014/main" id="{00000000-0008-0000-0000-00000C0D0000}"/>
              </a:ext>
            </a:extLst>
          </xdr:cNvPr>
          <xdr:cNvSpPr>
            <a:spLocks noChangeShapeType="1"/>
          </xdr:cNvSpPr>
        </xdr:nvSpPr>
        <xdr:spPr bwMode="auto">
          <a:xfrm>
            <a:off x="625736" y="13324691"/>
            <a:ext cx="106832" cy="131674"/>
          </a:xfrm>
          <a:prstGeom prst="line">
            <a:avLst/>
          </a:prstGeom>
          <a:noFill/>
          <a:ln w="9525">
            <a:solidFill>
              <a:srgbClr val="000000"/>
            </a:solidFill>
            <a:round/>
            <a:headEnd/>
            <a:tailEnd/>
          </a:ln>
        </xdr:spPr>
      </xdr:sp>
      <xdr:sp macro="" textlink="">
        <xdr:nvSpPr>
          <xdr:cNvPr id="3341" name="Line 123">
            <a:extLst>
              <a:ext uri="{FF2B5EF4-FFF2-40B4-BE49-F238E27FC236}">
                <a16:creationId xmlns:a16="http://schemas.microsoft.com/office/drawing/2014/main" id="{00000000-0008-0000-0000-00000D0D0000}"/>
              </a:ext>
            </a:extLst>
          </xdr:cNvPr>
          <xdr:cNvSpPr>
            <a:spLocks noChangeShapeType="1"/>
          </xdr:cNvSpPr>
        </xdr:nvSpPr>
        <xdr:spPr bwMode="auto">
          <a:xfrm>
            <a:off x="1515518" y="13319248"/>
            <a:ext cx="97120" cy="131674"/>
          </a:xfrm>
          <a:prstGeom prst="line">
            <a:avLst/>
          </a:prstGeom>
          <a:noFill/>
          <a:ln w="9525">
            <a:solidFill>
              <a:srgbClr val="000000"/>
            </a:solidFill>
            <a:round/>
            <a:headEnd/>
            <a:tailEnd/>
          </a:ln>
        </xdr:spPr>
      </xdr:sp>
      <xdr:sp macro="" textlink="">
        <xdr:nvSpPr>
          <xdr:cNvPr id="3342" name="Line 124">
            <a:extLst>
              <a:ext uri="{FF2B5EF4-FFF2-40B4-BE49-F238E27FC236}">
                <a16:creationId xmlns:a16="http://schemas.microsoft.com/office/drawing/2014/main" id="{00000000-0008-0000-0000-00000E0D0000}"/>
              </a:ext>
            </a:extLst>
          </xdr:cNvPr>
          <xdr:cNvSpPr>
            <a:spLocks noChangeShapeType="1"/>
          </xdr:cNvSpPr>
        </xdr:nvSpPr>
        <xdr:spPr bwMode="auto">
          <a:xfrm>
            <a:off x="2409023" y="13319248"/>
            <a:ext cx="97120" cy="131674"/>
          </a:xfrm>
          <a:prstGeom prst="line">
            <a:avLst/>
          </a:prstGeom>
          <a:noFill/>
          <a:ln w="9525">
            <a:solidFill>
              <a:srgbClr val="000000"/>
            </a:solidFill>
            <a:round/>
            <a:headEnd/>
            <a:tailEnd/>
          </a:ln>
        </xdr:spPr>
      </xdr:sp>
      <xdr:sp macro="" textlink="">
        <xdr:nvSpPr>
          <xdr:cNvPr id="3343" name="Line 125">
            <a:extLst>
              <a:ext uri="{FF2B5EF4-FFF2-40B4-BE49-F238E27FC236}">
                <a16:creationId xmlns:a16="http://schemas.microsoft.com/office/drawing/2014/main" id="{00000000-0008-0000-0000-00000F0D0000}"/>
              </a:ext>
            </a:extLst>
          </xdr:cNvPr>
          <xdr:cNvSpPr>
            <a:spLocks noChangeShapeType="1"/>
          </xdr:cNvSpPr>
        </xdr:nvSpPr>
        <xdr:spPr bwMode="auto">
          <a:xfrm>
            <a:off x="3661872" y="13309842"/>
            <a:ext cx="87408" cy="131674"/>
          </a:xfrm>
          <a:prstGeom prst="line">
            <a:avLst/>
          </a:prstGeom>
          <a:noFill/>
          <a:ln w="9525">
            <a:solidFill>
              <a:srgbClr val="000000"/>
            </a:solidFill>
            <a:round/>
            <a:headEnd/>
            <a:tailEnd/>
          </a:ln>
        </xdr:spPr>
      </xdr:sp>
      <xdr:sp macro="" textlink="">
        <xdr:nvSpPr>
          <xdr:cNvPr id="3344" name="Line 127">
            <a:extLst>
              <a:ext uri="{FF2B5EF4-FFF2-40B4-BE49-F238E27FC236}">
                <a16:creationId xmlns:a16="http://schemas.microsoft.com/office/drawing/2014/main" id="{00000000-0008-0000-0000-0000100D0000}"/>
              </a:ext>
            </a:extLst>
          </xdr:cNvPr>
          <xdr:cNvSpPr>
            <a:spLocks noChangeShapeType="1"/>
          </xdr:cNvSpPr>
        </xdr:nvSpPr>
        <xdr:spPr bwMode="auto">
          <a:xfrm>
            <a:off x="670015" y="13553380"/>
            <a:ext cx="0" cy="141080"/>
          </a:xfrm>
          <a:prstGeom prst="line">
            <a:avLst/>
          </a:prstGeom>
          <a:noFill/>
          <a:ln w="9525">
            <a:solidFill>
              <a:srgbClr val="000000"/>
            </a:solidFill>
            <a:round/>
            <a:headEnd/>
            <a:tailEnd/>
          </a:ln>
        </xdr:spPr>
      </xdr:sp>
      <xdr:sp macro="" textlink="">
        <xdr:nvSpPr>
          <xdr:cNvPr id="3345" name="Line 128">
            <a:extLst>
              <a:ext uri="{FF2B5EF4-FFF2-40B4-BE49-F238E27FC236}">
                <a16:creationId xmlns:a16="http://schemas.microsoft.com/office/drawing/2014/main" id="{00000000-0008-0000-0000-0000110D0000}"/>
              </a:ext>
            </a:extLst>
          </xdr:cNvPr>
          <xdr:cNvSpPr>
            <a:spLocks noChangeShapeType="1"/>
          </xdr:cNvSpPr>
        </xdr:nvSpPr>
        <xdr:spPr bwMode="auto">
          <a:xfrm>
            <a:off x="3705002" y="13527645"/>
            <a:ext cx="0" cy="141080"/>
          </a:xfrm>
          <a:prstGeom prst="line">
            <a:avLst/>
          </a:prstGeom>
          <a:noFill/>
          <a:ln w="9525">
            <a:solidFill>
              <a:srgbClr val="000000"/>
            </a:solidFill>
            <a:round/>
            <a:headEnd/>
            <a:tailEnd/>
          </a:ln>
        </xdr:spPr>
      </xdr:sp>
      <xdr:sp macro="" textlink="">
        <xdr:nvSpPr>
          <xdr:cNvPr id="3346" name="Line 129">
            <a:extLst>
              <a:ext uri="{FF2B5EF4-FFF2-40B4-BE49-F238E27FC236}">
                <a16:creationId xmlns:a16="http://schemas.microsoft.com/office/drawing/2014/main" id="{00000000-0008-0000-0000-0000120D0000}"/>
              </a:ext>
            </a:extLst>
          </xdr:cNvPr>
          <xdr:cNvSpPr>
            <a:spLocks noChangeShapeType="1"/>
          </xdr:cNvSpPr>
        </xdr:nvSpPr>
        <xdr:spPr bwMode="auto">
          <a:xfrm>
            <a:off x="621455" y="13553380"/>
            <a:ext cx="106832" cy="131674"/>
          </a:xfrm>
          <a:prstGeom prst="line">
            <a:avLst/>
          </a:prstGeom>
          <a:noFill/>
          <a:ln w="9525">
            <a:solidFill>
              <a:srgbClr val="000000"/>
            </a:solidFill>
            <a:round/>
            <a:headEnd/>
            <a:tailEnd/>
          </a:ln>
        </xdr:spPr>
      </xdr:sp>
      <xdr:sp macro="" textlink="">
        <xdr:nvSpPr>
          <xdr:cNvPr id="3347" name="Line 130">
            <a:extLst>
              <a:ext uri="{FF2B5EF4-FFF2-40B4-BE49-F238E27FC236}">
                <a16:creationId xmlns:a16="http://schemas.microsoft.com/office/drawing/2014/main" id="{00000000-0008-0000-0000-0000130D0000}"/>
              </a:ext>
            </a:extLst>
          </xdr:cNvPr>
          <xdr:cNvSpPr>
            <a:spLocks noChangeShapeType="1"/>
          </xdr:cNvSpPr>
        </xdr:nvSpPr>
        <xdr:spPr bwMode="auto">
          <a:xfrm>
            <a:off x="3656441" y="13530127"/>
            <a:ext cx="87408" cy="131674"/>
          </a:xfrm>
          <a:prstGeom prst="line">
            <a:avLst/>
          </a:prstGeom>
          <a:noFill/>
          <a:ln w="9525">
            <a:solidFill>
              <a:srgbClr val="000000"/>
            </a:solidFill>
            <a:round/>
            <a:headEnd/>
            <a:tailEnd/>
          </a:ln>
        </xdr:spPr>
      </xdr:sp>
      <xdr:sp macro="" textlink="">
        <xdr:nvSpPr>
          <xdr:cNvPr id="3348" name="Line 131">
            <a:extLst>
              <a:ext uri="{FF2B5EF4-FFF2-40B4-BE49-F238E27FC236}">
                <a16:creationId xmlns:a16="http://schemas.microsoft.com/office/drawing/2014/main" id="{00000000-0008-0000-0000-0000140D0000}"/>
              </a:ext>
            </a:extLst>
          </xdr:cNvPr>
          <xdr:cNvSpPr>
            <a:spLocks noChangeShapeType="1"/>
          </xdr:cNvSpPr>
        </xdr:nvSpPr>
        <xdr:spPr bwMode="auto">
          <a:xfrm>
            <a:off x="470593" y="12707902"/>
            <a:ext cx="0" cy="385618"/>
          </a:xfrm>
          <a:prstGeom prst="line">
            <a:avLst/>
          </a:prstGeom>
          <a:noFill/>
          <a:ln w="9525">
            <a:solidFill>
              <a:srgbClr val="000000"/>
            </a:solidFill>
            <a:round/>
            <a:headEnd/>
            <a:tailEnd/>
          </a:ln>
        </xdr:spPr>
      </xdr:sp>
      <xdr:sp macro="" textlink="">
        <xdr:nvSpPr>
          <xdr:cNvPr id="3349" name="Line 132">
            <a:extLst>
              <a:ext uri="{FF2B5EF4-FFF2-40B4-BE49-F238E27FC236}">
                <a16:creationId xmlns:a16="http://schemas.microsoft.com/office/drawing/2014/main" id="{00000000-0008-0000-0000-0000150D0000}"/>
              </a:ext>
            </a:extLst>
          </xdr:cNvPr>
          <xdr:cNvSpPr>
            <a:spLocks noChangeShapeType="1"/>
          </xdr:cNvSpPr>
        </xdr:nvSpPr>
        <xdr:spPr bwMode="auto">
          <a:xfrm>
            <a:off x="470593" y="12707902"/>
            <a:ext cx="126257" cy="0"/>
          </a:xfrm>
          <a:prstGeom prst="line">
            <a:avLst/>
          </a:prstGeom>
          <a:noFill/>
          <a:ln w="9525">
            <a:solidFill>
              <a:srgbClr val="000000"/>
            </a:solidFill>
            <a:round/>
            <a:headEnd/>
            <a:tailEnd/>
          </a:ln>
        </xdr:spPr>
      </xdr:sp>
      <xdr:sp macro="" textlink="">
        <xdr:nvSpPr>
          <xdr:cNvPr id="3350" name="Line 133">
            <a:extLst>
              <a:ext uri="{FF2B5EF4-FFF2-40B4-BE49-F238E27FC236}">
                <a16:creationId xmlns:a16="http://schemas.microsoft.com/office/drawing/2014/main" id="{00000000-0008-0000-0000-0000160D0000}"/>
              </a:ext>
            </a:extLst>
          </xdr:cNvPr>
          <xdr:cNvSpPr>
            <a:spLocks noChangeShapeType="1"/>
          </xdr:cNvSpPr>
        </xdr:nvSpPr>
        <xdr:spPr bwMode="auto">
          <a:xfrm>
            <a:off x="480305" y="13093520"/>
            <a:ext cx="126257" cy="0"/>
          </a:xfrm>
          <a:prstGeom prst="line">
            <a:avLst/>
          </a:prstGeom>
          <a:noFill/>
          <a:ln w="9525">
            <a:solidFill>
              <a:srgbClr val="000000"/>
            </a:solidFill>
            <a:round/>
            <a:headEnd/>
            <a:tailEnd/>
          </a:ln>
        </xdr:spPr>
      </xdr:sp>
      <xdr:sp macro="" textlink="">
        <xdr:nvSpPr>
          <xdr:cNvPr id="412" name="Text Box 134">
            <a:extLst>
              <a:ext uri="{FF2B5EF4-FFF2-40B4-BE49-F238E27FC236}">
                <a16:creationId xmlns:a16="http://schemas.microsoft.com/office/drawing/2014/main" id="{00000000-0008-0000-0000-00009C010000}"/>
              </a:ext>
            </a:extLst>
          </xdr:cNvPr>
          <xdr:cNvSpPr txBox="1">
            <a:spLocks noChangeArrowheads="1"/>
          </xdr:cNvSpPr>
        </xdr:nvSpPr>
        <xdr:spPr bwMode="auto">
          <a:xfrm>
            <a:off x="460691" y="12875375"/>
            <a:ext cx="142613" cy="25715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52" name="Line 135">
            <a:extLst>
              <a:ext uri="{FF2B5EF4-FFF2-40B4-BE49-F238E27FC236}">
                <a16:creationId xmlns:a16="http://schemas.microsoft.com/office/drawing/2014/main" id="{00000000-0008-0000-0000-0000180D0000}"/>
              </a:ext>
            </a:extLst>
          </xdr:cNvPr>
          <xdr:cNvSpPr>
            <a:spLocks noChangeShapeType="1"/>
          </xdr:cNvSpPr>
        </xdr:nvSpPr>
        <xdr:spPr bwMode="auto">
          <a:xfrm>
            <a:off x="428615" y="13050456"/>
            <a:ext cx="97120" cy="75243"/>
          </a:xfrm>
          <a:prstGeom prst="line">
            <a:avLst/>
          </a:prstGeom>
          <a:noFill/>
          <a:ln w="9525">
            <a:solidFill>
              <a:srgbClr val="000000"/>
            </a:solidFill>
            <a:round/>
            <a:headEnd/>
            <a:tailEnd/>
          </a:ln>
        </xdr:spPr>
      </xdr:sp>
      <xdr:sp macro="" textlink="">
        <xdr:nvSpPr>
          <xdr:cNvPr id="3353" name="Line 137">
            <a:extLst>
              <a:ext uri="{FF2B5EF4-FFF2-40B4-BE49-F238E27FC236}">
                <a16:creationId xmlns:a16="http://schemas.microsoft.com/office/drawing/2014/main" id="{00000000-0008-0000-0000-0000190D0000}"/>
              </a:ext>
            </a:extLst>
          </xdr:cNvPr>
          <xdr:cNvSpPr>
            <a:spLocks noChangeShapeType="1"/>
          </xdr:cNvSpPr>
        </xdr:nvSpPr>
        <xdr:spPr bwMode="auto">
          <a:xfrm flipV="1">
            <a:off x="470593" y="10610517"/>
            <a:ext cx="0" cy="2097385"/>
          </a:xfrm>
          <a:prstGeom prst="line">
            <a:avLst/>
          </a:prstGeom>
          <a:noFill/>
          <a:ln w="9525">
            <a:solidFill>
              <a:srgbClr val="000000"/>
            </a:solidFill>
            <a:round/>
            <a:headEnd/>
            <a:tailEnd/>
          </a:ln>
        </xdr:spPr>
      </xdr:sp>
      <xdr:sp macro="" textlink="">
        <xdr:nvSpPr>
          <xdr:cNvPr id="3354" name="Line 138">
            <a:extLst>
              <a:ext uri="{FF2B5EF4-FFF2-40B4-BE49-F238E27FC236}">
                <a16:creationId xmlns:a16="http://schemas.microsoft.com/office/drawing/2014/main" id="{00000000-0008-0000-0000-00001A0D0000}"/>
              </a:ext>
            </a:extLst>
          </xdr:cNvPr>
          <xdr:cNvSpPr>
            <a:spLocks noChangeShapeType="1"/>
          </xdr:cNvSpPr>
        </xdr:nvSpPr>
        <xdr:spPr bwMode="auto">
          <a:xfrm>
            <a:off x="428615" y="12670281"/>
            <a:ext cx="97120" cy="75243"/>
          </a:xfrm>
          <a:prstGeom prst="line">
            <a:avLst/>
          </a:prstGeom>
          <a:noFill/>
          <a:ln w="9525">
            <a:solidFill>
              <a:srgbClr val="000000"/>
            </a:solidFill>
            <a:round/>
            <a:headEnd/>
            <a:tailEnd/>
          </a:ln>
        </xdr:spPr>
      </xdr:sp>
      <xdr:sp macro="" textlink="">
        <xdr:nvSpPr>
          <xdr:cNvPr id="3355" name="Line 139">
            <a:extLst>
              <a:ext uri="{FF2B5EF4-FFF2-40B4-BE49-F238E27FC236}">
                <a16:creationId xmlns:a16="http://schemas.microsoft.com/office/drawing/2014/main" id="{00000000-0008-0000-0000-00001B0D0000}"/>
              </a:ext>
            </a:extLst>
          </xdr:cNvPr>
          <xdr:cNvSpPr>
            <a:spLocks noChangeShapeType="1"/>
          </xdr:cNvSpPr>
        </xdr:nvSpPr>
        <xdr:spPr bwMode="auto">
          <a:xfrm>
            <a:off x="431745" y="10551841"/>
            <a:ext cx="87408" cy="122269"/>
          </a:xfrm>
          <a:prstGeom prst="line">
            <a:avLst/>
          </a:prstGeom>
          <a:noFill/>
          <a:ln w="9525">
            <a:solidFill>
              <a:srgbClr val="000000"/>
            </a:solidFill>
            <a:round/>
            <a:headEnd/>
            <a:tailEnd/>
          </a:ln>
        </xdr:spPr>
      </xdr:sp>
      <xdr:sp macro="" textlink="">
        <xdr:nvSpPr>
          <xdr:cNvPr id="417" name="Text Box 140">
            <a:extLst>
              <a:ext uri="{FF2B5EF4-FFF2-40B4-BE49-F238E27FC236}">
                <a16:creationId xmlns:a16="http://schemas.microsoft.com/office/drawing/2014/main" id="{00000000-0008-0000-0000-0000A1010000}"/>
              </a:ext>
            </a:extLst>
          </xdr:cNvPr>
          <xdr:cNvSpPr txBox="1">
            <a:spLocks noChangeArrowheads="1"/>
          </xdr:cNvSpPr>
        </xdr:nvSpPr>
        <xdr:spPr bwMode="auto">
          <a:xfrm>
            <a:off x="213496" y="11532456"/>
            <a:ext cx="275718" cy="228582"/>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57" name="Line 142">
            <a:extLst>
              <a:ext uri="{FF2B5EF4-FFF2-40B4-BE49-F238E27FC236}">
                <a16:creationId xmlns:a16="http://schemas.microsoft.com/office/drawing/2014/main" id="{00000000-0008-0000-0000-00001D0D0000}"/>
              </a:ext>
            </a:extLst>
          </xdr:cNvPr>
          <xdr:cNvSpPr>
            <a:spLocks noChangeShapeType="1"/>
          </xdr:cNvSpPr>
        </xdr:nvSpPr>
        <xdr:spPr bwMode="auto">
          <a:xfrm>
            <a:off x="1554366" y="10215494"/>
            <a:ext cx="903217" cy="0"/>
          </a:xfrm>
          <a:prstGeom prst="line">
            <a:avLst/>
          </a:prstGeom>
          <a:noFill/>
          <a:ln w="9525">
            <a:solidFill>
              <a:srgbClr val="000000"/>
            </a:solidFill>
            <a:round/>
            <a:headEnd/>
            <a:tailEnd/>
          </a:ln>
        </xdr:spPr>
      </xdr:sp>
      <xdr:sp macro="" textlink="">
        <xdr:nvSpPr>
          <xdr:cNvPr id="3358" name="Line 143">
            <a:extLst>
              <a:ext uri="{FF2B5EF4-FFF2-40B4-BE49-F238E27FC236}">
                <a16:creationId xmlns:a16="http://schemas.microsoft.com/office/drawing/2014/main" id="{00000000-0008-0000-0000-00001E0D0000}"/>
              </a:ext>
            </a:extLst>
          </xdr:cNvPr>
          <xdr:cNvSpPr>
            <a:spLocks noChangeShapeType="1"/>
          </xdr:cNvSpPr>
        </xdr:nvSpPr>
        <xdr:spPr bwMode="auto">
          <a:xfrm>
            <a:off x="1554366" y="10215494"/>
            <a:ext cx="0" cy="84648"/>
          </a:xfrm>
          <a:prstGeom prst="line">
            <a:avLst/>
          </a:prstGeom>
          <a:noFill/>
          <a:ln w="9525">
            <a:solidFill>
              <a:srgbClr val="000000"/>
            </a:solidFill>
            <a:round/>
            <a:headEnd/>
            <a:tailEnd/>
          </a:ln>
        </xdr:spPr>
      </xdr:sp>
      <xdr:sp macro="" textlink="">
        <xdr:nvSpPr>
          <xdr:cNvPr id="3359" name="Line 144">
            <a:extLst>
              <a:ext uri="{FF2B5EF4-FFF2-40B4-BE49-F238E27FC236}">
                <a16:creationId xmlns:a16="http://schemas.microsoft.com/office/drawing/2014/main" id="{00000000-0008-0000-0000-00001F0D0000}"/>
              </a:ext>
            </a:extLst>
          </xdr:cNvPr>
          <xdr:cNvSpPr>
            <a:spLocks noChangeShapeType="1"/>
          </xdr:cNvSpPr>
        </xdr:nvSpPr>
        <xdr:spPr bwMode="auto">
          <a:xfrm>
            <a:off x="1874863" y="10215494"/>
            <a:ext cx="0" cy="84648"/>
          </a:xfrm>
          <a:prstGeom prst="line">
            <a:avLst/>
          </a:prstGeom>
          <a:noFill/>
          <a:ln w="9525">
            <a:solidFill>
              <a:srgbClr val="000000"/>
            </a:solidFill>
            <a:round/>
            <a:headEnd/>
            <a:tailEnd/>
          </a:ln>
        </xdr:spPr>
      </xdr:sp>
      <xdr:sp macro="" textlink="">
        <xdr:nvSpPr>
          <xdr:cNvPr id="3360" name="Line 145">
            <a:extLst>
              <a:ext uri="{FF2B5EF4-FFF2-40B4-BE49-F238E27FC236}">
                <a16:creationId xmlns:a16="http://schemas.microsoft.com/office/drawing/2014/main" id="{00000000-0008-0000-0000-0000200D0000}"/>
              </a:ext>
            </a:extLst>
          </xdr:cNvPr>
          <xdr:cNvSpPr>
            <a:spLocks noChangeShapeType="1"/>
          </xdr:cNvSpPr>
        </xdr:nvSpPr>
        <xdr:spPr bwMode="auto">
          <a:xfrm>
            <a:off x="2156511" y="10215494"/>
            <a:ext cx="0" cy="84648"/>
          </a:xfrm>
          <a:prstGeom prst="line">
            <a:avLst/>
          </a:prstGeom>
          <a:noFill/>
          <a:ln w="9525">
            <a:solidFill>
              <a:srgbClr val="000000"/>
            </a:solidFill>
            <a:round/>
            <a:headEnd/>
            <a:tailEnd/>
          </a:ln>
        </xdr:spPr>
      </xdr:sp>
      <xdr:sp macro="" textlink="">
        <xdr:nvSpPr>
          <xdr:cNvPr id="3361" name="Line 146">
            <a:extLst>
              <a:ext uri="{FF2B5EF4-FFF2-40B4-BE49-F238E27FC236}">
                <a16:creationId xmlns:a16="http://schemas.microsoft.com/office/drawing/2014/main" id="{00000000-0008-0000-0000-0000210D0000}"/>
              </a:ext>
            </a:extLst>
          </xdr:cNvPr>
          <xdr:cNvSpPr>
            <a:spLocks noChangeShapeType="1"/>
          </xdr:cNvSpPr>
        </xdr:nvSpPr>
        <xdr:spPr bwMode="auto">
          <a:xfrm>
            <a:off x="2457584" y="10215494"/>
            <a:ext cx="0" cy="84648"/>
          </a:xfrm>
          <a:prstGeom prst="line">
            <a:avLst/>
          </a:prstGeom>
          <a:noFill/>
          <a:ln w="9525">
            <a:solidFill>
              <a:srgbClr val="000000"/>
            </a:solidFill>
            <a:round/>
            <a:headEnd/>
            <a:tailEnd/>
          </a:ln>
        </xdr:spPr>
      </xdr:sp>
      <xdr:sp macro="" textlink="">
        <xdr:nvSpPr>
          <xdr:cNvPr id="3362" name="Line 147">
            <a:extLst>
              <a:ext uri="{FF2B5EF4-FFF2-40B4-BE49-F238E27FC236}">
                <a16:creationId xmlns:a16="http://schemas.microsoft.com/office/drawing/2014/main" id="{00000000-0008-0000-0000-0000220D0000}"/>
              </a:ext>
            </a:extLst>
          </xdr:cNvPr>
          <xdr:cNvSpPr>
            <a:spLocks noChangeShapeType="1"/>
          </xdr:cNvSpPr>
        </xdr:nvSpPr>
        <xdr:spPr bwMode="auto">
          <a:xfrm>
            <a:off x="1534942" y="10215494"/>
            <a:ext cx="48560" cy="28216"/>
          </a:xfrm>
          <a:prstGeom prst="line">
            <a:avLst/>
          </a:prstGeom>
          <a:noFill/>
          <a:ln w="9525">
            <a:solidFill>
              <a:srgbClr val="000000"/>
            </a:solidFill>
            <a:round/>
            <a:headEnd/>
            <a:tailEnd/>
          </a:ln>
        </xdr:spPr>
      </xdr:sp>
      <xdr:sp macro="" textlink="">
        <xdr:nvSpPr>
          <xdr:cNvPr id="3363" name="Line 148">
            <a:extLst>
              <a:ext uri="{FF2B5EF4-FFF2-40B4-BE49-F238E27FC236}">
                <a16:creationId xmlns:a16="http://schemas.microsoft.com/office/drawing/2014/main" id="{00000000-0008-0000-0000-0000230D0000}"/>
              </a:ext>
            </a:extLst>
          </xdr:cNvPr>
          <xdr:cNvSpPr>
            <a:spLocks noChangeShapeType="1"/>
          </xdr:cNvSpPr>
        </xdr:nvSpPr>
        <xdr:spPr bwMode="auto">
          <a:xfrm>
            <a:off x="1865151" y="10215494"/>
            <a:ext cx="38848" cy="28216"/>
          </a:xfrm>
          <a:prstGeom prst="line">
            <a:avLst/>
          </a:prstGeom>
          <a:noFill/>
          <a:ln w="9525">
            <a:solidFill>
              <a:srgbClr val="000000"/>
            </a:solidFill>
            <a:round/>
            <a:headEnd/>
            <a:tailEnd/>
          </a:ln>
        </xdr:spPr>
      </xdr:sp>
      <xdr:sp macro="" textlink="">
        <xdr:nvSpPr>
          <xdr:cNvPr id="3364" name="Line 149">
            <a:extLst>
              <a:ext uri="{FF2B5EF4-FFF2-40B4-BE49-F238E27FC236}">
                <a16:creationId xmlns:a16="http://schemas.microsoft.com/office/drawing/2014/main" id="{00000000-0008-0000-0000-0000240D0000}"/>
              </a:ext>
            </a:extLst>
          </xdr:cNvPr>
          <xdr:cNvSpPr>
            <a:spLocks noChangeShapeType="1"/>
          </xdr:cNvSpPr>
        </xdr:nvSpPr>
        <xdr:spPr bwMode="auto">
          <a:xfrm>
            <a:off x="2127375" y="10215494"/>
            <a:ext cx="48560" cy="28216"/>
          </a:xfrm>
          <a:prstGeom prst="line">
            <a:avLst/>
          </a:prstGeom>
          <a:noFill/>
          <a:ln w="9525">
            <a:solidFill>
              <a:srgbClr val="000000"/>
            </a:solidFill>
            <a:round/>
            <a:headEnd/>
            <a:tailEnd/>
          </a:ln>
        </xdr:spPr>
      </xdr:sp>
      <xdr:sp macro="" textlink="">
        <xdr:nvSpPr>
          <xdr:cNvPr id="3365" name="Line 150">
            <a:extLst>
              <a:ext uri="{FF2B5EF4-FFF2-40B4-BE49-F238E27FC236}">
                <a16:creationId xmlns:a16="http://schemas.microsoft.com/office/drawing/2014/main" id="{00000000-0008-0000-0000-0000250D0000}"/>
              </a:ext>
            </a:extLst>
          </xdr:cNvPr>
          <xdr:cNvSpPr>
            <a:spLocks noChangeShapeType="1"/>
          </xdr:cNvSpPr>
        </xdr:nvSpPr>
        <xdr:spPr bwMode="auto">
          <a:xfrm>
            <a:off x="2438160" y="10159062"/>
            <a:ext cx="38848" cy="84648"/>
          </a:xfrm>
          <a:prstGeom prst="line">
            <a:avLst/>
          </a:prstGeom>
          <a:noFill/>
          <a:ln w="9525">
            <a:solidFill>
              <a:srgbClr val="000000"/>
            </a:solidFill>
            <a:round/>
            <a:headEnd/>
            <a:tailEnd/>
          </a:ln>
        </xdr:spPr>
      </xdr:sp>
      <xdr:sp macro="" textlink="">
        <xdr:nvSpPr>
          <xdr:cNvPr id="3366" name="Line 151">
            <a:extLst>
              <a:ext uri="{FF2B5EF4-FFF2-40B4-BE49-F238E27FC236}">
                <a16:creationId xmlns:a16="http://schemas.microsoft.com/office/drawing/2014/main" id="{00000000-0008-0000-0000-0000260D0000}"/>
              </a:ext>
            </a:extLst>
          </xdr:cNvPr>
          <xdr:cNvSpPr>
            <a:spLocks noChangeShapeType="1"/>
          </xdr:cNvSpPr>
        </xdr:nvSpPr>
        <xdr:spPr bwMode="auto">
          <a:xfrm>
            <a:off x="460881" y="10601112"/>
            <a:ext cx="135968" cy="0"/>
          </a:xfrm>
          <a:prstGeom prst="line">
            <a:avLst/>
          </a:prstGeom>
          <a:noFill/>
          <a:ln w="9525">
            <a:solidFill>
              <a:srgbClr val="000000"/>
            </a:solidFill>
            <a:round/>
            <a:headEnd/>
            <a:tailEnd/>
          </a:ln>
        </xdr:spPr>
      </xdr:sp>
      <xdr:sp macro="" textlink="">
        <xdr:nvSpPr>
          <xdr:cNvPr id="3367" name="Oval 159">
            <a:extLst>
              <a:ext uri="{FF2B5EF4-FFF2-40B4-BE49-F238E27FC236}">
                <a16:creationId xmlns:a16="http://schemas.microsoft.com/office/drawing/2014/main" id="{00000000-0008-0000-0000-0000270D0000}"/>
              </a:ext>
            </a:extLst>
          </xdr:cNvPr>
          <xdr:cNvSpPr>
            <a:spLocks noChangeArrowheads="1"/>
          </xdr:cNvSpPr>
        </xdr:nvSpPr>
        <xdr:spPr bwMode="auto">
          <a:xfrm>
            <a:off x="1903999" y="12820766"/>
            <a:ext cx="184528" cy="178701"/>
          </a:xfrm>
          <a:prstGeom prst="ellipse">
            <a:avLst/>
          </a:prstGeom>
          <a:noFill/>
          <a:ln w="9525">
            <a:solidFill>
              <a:srgbClr val="000000"/>
            </a:solidFill>
            <a:round/>
            <a:headEnd/>
            <a:tailEnd/>
          </a:ln>
        </xdr:spPr>
      </xdr:sp>
      <xdr:sp macro="" textlink="">
        <xdr:nvSpPr>
          <xdr:cNvPr id="3368" name="Oval 160">
            <a:extLst>
              <a:ext uri="{FF2B5EF4-FFF2-40B4-BE49-F238E27FC236}">
                <a16:creationId xmlns:a16="http://schemas.microsoft.com/office/drawing/2014/main" id="{00000000-0008-0000-0000-0000280D0000}"/>
              </a:ext>
            </a:extLst>
          </xdr:cNvPr>
          <xdr:cNvSpPr>
            <a:spLocks noChangeArrowheads="1"/>
          </xdr:cNvSpPr>
        </xdr:nvSpPr>
        <xdr:spPr bwMode="auto">
          <a:xfrm>
            <a:off x="1903999" y="11607480"/>
            <a:ext cx="184528" cy="188106"/>
          </a:xfrm>
          <a:prstGeom prst="ellipse">
            <a:avLst/>
          </a:prstGeom>
          <a:noFill/>
          <a:ln w="9525">
            <a:solidFill>
              <a:srgbClr val="000000"/>
            </a:solidFill>
            <a:round/>
            <a:headEnd/>
            <a:tailEnd/>
          </a:ln>
        </xdr:spPr>
      </xdr:sp>
      <xdr:sp macro="" textlink="">
        <xdr:nvSpPr>
          <xdr:cNvPr id="3369" name="Oval 161">
            <a:extLst>
              <a:ext uri="{FF2B5EF4-FFF2-40B4-BE49-F238E27FC236}">
                <a16:creationId xmlns:a16="http://schemas.microsoft.com/office/drawing/2014/main" id="{00000000-0008-0000-0000-0000290D0000}"/>
              </a:ext>
            </a:extLst>
          </xdr:cNvPr>
          <xdr:cNvSpPr>
            <a:spLocks noChangeArrowheads="1"/>
          </xdr:cNvSpPr>
        </xdr:nvSpPr>
        <xdr:spPr bwMode="auto">
          <a:xfrm>
            <a:off x="1923423" y="12510391"/>
            <a:ext cx="184528" cy="178701"/>
          </a:xfrm>
          <a:prstGeom prst="ellipse">
            <a:avLst/>
          </a:prstGeom>
          <a:noFill/>
          <a:ln w="9525">
            <a:solidFill>
              <a:srgbClr val="000000"/>
            </a:solidFill>
            <a:round/>
            <a:headEnd/>
            <a:tailEnd/>
          </a:ln>
        </xdr:spPr>
      </xdr:sp>
      <xdr:sp macro="" textlink="">
        <xdr:nvSpPr>
          <xdr:cNvPr id="3370" name="Oval 162">
            <a:extLst>
              <a:ext uri="{FF2B5EF4-FFF2-40B4-BE49-F238E27FC236}">
                <a16:creationId xmlns:a16="http://schemas.microsoft.com/office/drawing/2014/main" id="{00000000-0008-0000-0000-00002A0D0000}"/>
              </a:ext>
            </a:extLst>
          </xdr:cNvPr>
          <xdr:cNvSpPr>
            <a:spLocks noChangeArrowheads="1"/>
          </xdr:cNvSpPr>
        </xdr:nvSpPr>
        <xdr:spPr bwMode="auto">
          <a:xfrm>
            <a:off x="2175935" y="12021314"/>
            <a:ext cx="155392" cy="169296"/>
          </a:xfrm>
          <a:prstGeom prst="ellipse">
            <a:avLst/>
          </a:prstGeom>
          <a:noFill/>
          <a:ln w="9525">
            <a:solidFill>
              <a:srgbClr val="000000"/>
            </a:solidFill>
            <a:round/>
            <a:headEnd/>
            <a:tailEnd/>
          </a:ln>
        </xdr:spPr>
      </xdr:sp>
      <xdr:sp macro="" textlink="">
        <xdr:nvSpPr>
          <xdr:cNvPr id="3371" name="Oval 163">
            <a:extLst>
              <a:ext uri="{FF2B5EF4-FFF2-40B4-BE49-F238E27FC236}">
                <a16:creationId xmlns:a16="http://schemas.microsoft.com/office/drawing/2014/main" id="{00000000-0008-0000-0000-00002B0D0000}"/>
              </a:ext>
            </a:extLst>
          </xdr:cNvPr>
          <xdr:cNvSpPr>
            <a:spLocks noChangeArrowheads="1"/>
          </xdr:cNvSpPr>
        </xdr:nvSpPr>
        <xdr:spPr bwMode="auto">
          <a:xfrm>
            <a:off x="1670910" y="12021314"/>
            <a:ext cx="155392" cy="159890"/>
          </a:xfrm>
          <a:prstGeom prst="ellipse">
            <a:avLst/>
          </a:prstGeom>
          <a:noFill/>
          <a:ln w="9525">
            <a:solidFill>
              <a:srgbClr val="000000"/>
            </a:solidFill>
            <a:round/>
            <a:headEnd/>
            <a:tailEnd/>
          </a:ln>
        </xdr:spPr>
      </xdr:sp>
      <xdr:sp macro="" textlink="">
        <xdr:nvSpPr>
          <xdr:cNvPr id="3372" name="Oval 164">
            <a:extLst>
              <a:ext uri="{FF2B5EF4-FFF2-40B4-BE49-F238E27FC236}">
                <a16:creationId xmlns:a16="http://schemas.microsoft.com/office/drawing/2014/main" id="{00000000-0008-0000-0000-00002C0D0000}"/>
              </a:ext>
            </a:extLst>
          </xdr:cNvPr>
          <xdr:cNvSpPr>
            <a:spLocks noChangeArrowheads="1"/>
          </xdr:cNvSpPr>
        </xdr:nvSpPr>
        <xdr:spPr bwMode="auto">
          <a:xfrm>
            <a:off x="1243582" y="12529201"/>
            <a:ext cx="145681" cy="169296"/>
          </a:xfrm>
          <a:prstGeom prst="ellipse">
            <a:avLst/>
          </a:prstGeom>
          <a:noFill/>
          <a:ln w="9525">
            <a:solidFill>
              <a:srgbClr val="000000"/>
            </a:solidFill>
            <a:round/>
            <a:headEnd/>
            <a:tailEnd/>
          </a:ln>
        </xdr:spPr>
      </xdr:sp>
      <xdr:sp macro="" textlink="">
        <xdr:nvSpPr>
          <xdr:cNvPr id="3373" name="Oval 165">
            <a:extLst>
              <a:ext uri="{FF2B5EF4-FFF2-40B4-BE49-F238E27FC236}">
                <a16:creationId xmlns:a16="http://schemas.microsoft.com/office/drawing/2014/main" id="{00000000-0008-0000-0000-00002D0D0000}"/>
              </a:ext>
            </a:extLst>
          </xdr:cNvPr>
          <xdr:cNvSpPr>
            <a:spLocks noChangeArrowheads="1"/>
          </xdr:cNvSpPr>
        </xdr:nvSpPr>
        <xdr:spPr bwMode="auto">
          <a:xfrm>
            <a:off x="2544992" y="12529201"/>
            <a:ext cx="145681" cy="150485"/>
          </a:xfrm>
          <a:prstGeom prst="ellipse">
            <a:avLst/>
          </a:prstGeom>
          <a:noFill/>
          <a:ln w="9525">
            <a:solidFill>
              <a:srgbClr val="000000"/>
            </a:solidFill>
            <a:round/>
            <a:headEnd/>
            <a:tailEnd/>
          </a:ln>
        </xdr:spPr>
      </xdr:sp>
      <xdr:sp macro="" textlink="">
        <xdr:nvSpPr>
          <xdr:cNvPr id="3374" name="Oval 168">
            <a:extLst>
              <a:ext uri="{FF2B5EF4-FFF2-40B4-BE49-F238E27FC236}">
                <a16:creationId xmlns:a16="http://schemas.microsoft.com/office/drawing/2014/main" id="{00000000-0008-0000-0000-00002E0D0000}"/>
              </a:ext>
            </a:extLst>
          </xdr:cNvPr>
          <xdr:cNvSpPr>
            <a:spLocks noChangeArrowheads="1"/>
          </xdr:cNvSpPr>
        </xdr:nvSpPr>
        <xdr:spPr bwMode="auto">
          <a:xfrm>
            <a:off x="3457920" y="12435148"/>
            <a:ext cx="213665" cy="188106"/>
          </a:xfrm>
          <a:prstGeom prst="ellipse">
            <a:avLst/>
          </a:prstGeom>
          <a:noFill/>
          <a:ln w="9525">
            <a:solidFill>
              <a:srgbClr val="000000"/>
            </a:solidFill>
            <a:round/>
            <a:headEnd/>
            <a:tailEnd/>
          </a:ln>
        </xdr:spPr>
      </xdr:sp>
      <xdr:sp macro="" textlink="">
        <xdr:nvSpPr>
          <xdr:cNvPr id="3375" name="Oval 169">
            <a:extLst>
              <a:ext uri="{FF2B5EF4-FFF2-40B4-BE49-F238E27FC236}">
                <a16:creationId xmlns:a16="http://schemas.microsoft.com/office/drawing/2014/main" id="{00000000-0008-0000-0000-00002F0D0000}"/>
              </a:ext>
            </a:extLst>
          </xdr:cNvPr>
          <xdr:cNvSpPr>
            <a:spLocks noChangeArrowheads="1"/>
          </xdr:cNvSpPr>
        </xdr:nvSpPr>
        <xdr:spPr bwMode="auto">
          <a:xfrm>
            <a:off x="2952896" y="11466401"/>
            <a:ext cx="174816" cy="159890"/>
          </a:xfrm>
          <a:prstGeom prst="ellipse">
            <a:avLst/>
          </a:prstGeom>
          <a:noFill/>
          <a:ln w="9525">
            <a:solidFill>
              <a:srgbClr val="000000"/>
            </a:solidFill>
            <a:round/>
            <a:headEnd/>
            <a:tailEnd/>
          </a:ln>
        </xdr:spPr>
      </xdr:sp>
      <xdr:sp macro="" textlink="">
        <xdr:nvSpPr>
          <xdr:cNvPr id="3376" name="Oval 170">
            <a:extLst>
              <a:ext uri="{FF2B5EF4-FFF2-40B4-BE49-F238E27FC236}">
                <a16:creationId xmlns:a16="http://schemas.microsoft.com/office/drawing/2014/main" id="{00000000-0008-0000-0000-0000300D0000}"/>
              </a:ext>
            </a:extLst>
          </xdr:cNvPr>
          <xdr:cNvSpPr>
            <a:spLocks noChangeArrowheads="1"/>
          </xdr:cNvSpPr>
        </xdr:nvSpPr>
        <xdr:spPr bwMode="auto">
          <a:xfrm>
            <a:off x="2234208" y="10902082"/>
            <a:ext cx="184528" cy="244538"/>
          </a:xfrm>
          <a:prstGeom prst="ellipse">
            <a:avLst/>
          </a:prstGeom>
          <a:noFill/>
          <a:ln w="9525">
            <a:solidFill>
              <a:srgbClr val="000000"/>
            </a:solidFill>
            <a:round/>
            <a:headEnd/>
            <a:tailEnd/>
          </a:ln>
        </xdr:spPr>
      </xdr:sp>
      <xdr:sp macro="" textlink="">
        <xdr:nvSpPr>
          <xdr:cNvPr id="3377" name="Line 174">
            <a:extLst>
              <a:ext uri="{FF2B5EF4-FFF2-40B4-BE49-F238E27FC236}">
                <a16:creationId xmlns:a16="http://schemas.microsoft.com/office/drawing/2014/main" id="{00000000-0008-0000-0000-0000310D0000}"/>
              </a:ext>
            </a:extLst>
          </xdr:cNvPr>
          <xdr:cNvSpPr>
            <a:spLocks noChangeShapeType="1"/>
          </xdr:cNvSpPr>
        </xdr:nvSpPr>
        <xdr:spPr bwMode="auto">
          <a:xfrm flipH="1">
            <a:off x="793951" y="11818554"/>
            <a:ext cx="126257" cy="94053"/>
          </a:xfrm>
          <a:prstGeom prst="line">
            <a:avLst/>
          </a:prstGeom>
          <a:noFill/>
          <a:ln w="9525">
            <a:solidFill>
              <a:srgbClr val="000000"/>
            </a:solidFill>
            <a:round/>
            <a:headEnd/>
            <a:tailEnd/>
          </a:ln>
        </xdr:spPr>
      </xdr:sp>
      <xdr:sp macro="" textlink="">
        <xdr:nvSpPr>
          <xdr:cNvPr id="3378" name="Line 175">
            <a:extLst>
              <a:ext uri="{FF2B5EF4-FFF2-40B4-BE49-F238E27FC236}">
                <a16:creationId xmlns:a16="http://schemas.microsoft.com/office/drawing/2014/main" id="{00000000-0008-0000-0000-0000320D0000}"/>
              </a:ext>
            </a:extLst>
          </xdr:cNvPr>
          <xdr:cNvSpPr>
            <a:spLocks noChangeShapeType="1"/>
          </xdr:cNvSpPr>
        </xdr:nvSpPr>
        <xdr:spPr bwMode="auto">
          <a:xfrm flipH="1">
            <a:off x="871647" y="11818554"/>
            <a:ext cx="106832" cy="94053"/>
          </a:xfrm>
          <a:prstGeom prst="line">
            <a:avLst/>
          </a:prstGeom>
          <a:noFill/>
          <a:ln w="9525">
            <a:solidFill>
              <a:srgbClr val="000000"/>
            </a:solidFill>
            <a:round/>
            <a:headEnd/>
            <a:tailEnd/>
          </a:ln>
        </xdr:spPr>
      </xdr:sp>
      <xdr:sp macro="" textlink="">
        <xdr:nvSpPr>
          <xdr:cNvPr id="3379" name="Line 176">
            <a:extLst>
              <a:ext uri="{FF2B5EF4-FFF2-40B4-BE49-F238E27FC236}">
                <a16:creationId xmlns:a16="http://schemas.microsoft.com/office/drawing/2014/main" id="{00000000-0008-0000-0000-0000330D0000}"/>
              </a:ext>
            </a:extLst>
          </xdr:cNvPr>
          <xdr:cNvSpPr>
            <a:spLocks noChangeShapeType="1"/>
          </xdr:cNvSpPr>
        </xdr:nvSpPr>
        <xdr:spPr bwMode="auto">
          <a:xfrm flipH="1">
            <a:off x="929919" y="11818554"/>
            <a:ext cx="116544" cy="94053"/>
          </a:xfrm>
          <a:prstGeom prst="line">
            <a:avLst/>
          </a:prstGeom>
          <a:noFill/>
          <a:ln w="9525">
            <a:solidFill>
              <a:srgbClr val="000000"/>
            </a:solidFill>
            <a:round/>
            <a:headEnd/>
            <a:tailEnd/>
          </a:ln>
        </xdr:spPr>
      </xdr:sp>
      <xdr:sp macro="" textlink="">
        <xdr:nvSpPr>
          <xdr:cNvPr id="3380" name="Line 177">
            <a:extLst>
              <a:ext uri="{FF2B5EF4-FFF2-40B4-BE49-F238E27FC236}">
                <a16:creationId xmlns:a16="http://schemas.microsoft.com/office/drawing/2014/main" id="{00000000-0008-0000-0000-0000340D0000}"/>
              </a:ext>
            </a:extLst>
          </xdr:cNvPr>
          <xdr:cNvSpPr>
            <a:spLocks noChangeShapeType="1"/>
          </xdr:cNvSpPr>
        </xdr:nvSpPr>
        <xdr:spPr bwMode="auto">
          <a:xfrm>
            <a:off x="1065887" y="11818554"/>
            <a:ext cx="87408" cy="103458"/>
          </a:xfrm>
          <a:prstGeom prst="line">
            <a:avLst/>
          </a:prstGeom>
          <a:noFill/>
          <a:ln w="9525">
            <a:solidFill>
              <a:srgbClr val="000000"/>
            </a:solidFill>
            <a:round/>
            <a:headEnd/>
            <a:tailEnd/>
          </a:ln>
        </xdr:spPr>
      </xdr:sp>
      <xdr:sp macro="" textlink="">
        <xdr:nvSpPr>
          <xdr:cNvPr id="3381" name="Line 178">
            <a:extLst>
              <a:ext uri="{FF2B5EF4-FFF2-40B4-BE49-F238E27FC236}">
                <a16:creationId xmlns:a16="http://schemas.microsoft.com/office/drawing/2014/main" id="{00000000-0008-0000-0000-0000350D0000}"/>
              </a:ext>
            </a:extLst>
          </xdr:cNvPr>
          <xdr:cNvSpPr>
            <a:spLocks noChangeShapeType="1"/>
          </xdr:cNvSpPr>
        </xdr:nvSpPr>
        <xdr:spPr bwMode="auto">
          <a:xfrm>
            <a:off x="1124159" y="11818554"/>
            <a:ext cx="87408" cy="103458"/>
          </a:xfrm>
          <a:prstGeom prst="line">
            <a:avLst/>
          </a:prstGeom>
          <a:noFill/>
          <a:ln w="9525">
            <a:solidFill>
              <a:srgbClr val="000000"/>
            </a:solidFill>
            <a:round/>
            <a:headEnd/>
            <a:tailEnd/>
          </a:ln>
        </xdr:spPr>
      </xdr:sp>
      <xdr:sp macro="" textlink="">
        <xdr:nvSpPr>
          <xdr:cNvPr id="3382" name="Line 179">
            <a:extLst>
              <a:ext uri="{FF2B5EF4-FFF2-40B4-BE49-F238E27FC236}">
                <a16:creationId xmlns:a16="http://schemas.microsoft.com/office/drawing/2014/main" id="{00000000-0008-0000-0000-0000360D0000}"/>
              </a:ext>
            </a:extLst>
          </xdr:cNvPr>
          <xdr:cNvSpPr>
            <a:spLocks noChangeShapeType="1"/>
          </xdr:cNvSpPr>
        </xdr:nvSpPr>
        <xdr:spPr bwMode="auto">
          <a:xfrm>
            <a:off x="1182432" y="11827959"/>
            <a:ext cx="97120" cy="103458"/>
          </a:xfrm>
          <a:prstGeom prst="line">
            <a:avLst/>
          </a:prstGeom>
          <a:noFill/>
          <a:ln w="9525">
            <a:solidFill>
              <a:srgbClr val="000000"/>
            </a:solidFill>
            <a:round/>
            <a:headEnd/>
            <a:tailEnd/>
          </a:ln>
        </xdr:spPr>
      </xdr:sp>
      <xdr:sp macro="" textlink="">
        <xdr:nvSpPr>
          <xdr:cNvPr id="445" name="Text Box 52">
            <a:extLst>
              <a:ext uri="{FF2B5EF4-FFF2-40B4-BE49-F238E27FC236}">
                <a16:creationId xmlns:a16="http://schemas.microsoft.com/office/drawing/2014/main" id="{00000000-0008-0000-0000-0000BD010000}"/>
              </a:ext>
            </a:extLst>
          </xdr:cNvPr>
          <xdr:cNvSpPr txBox="1">
            <a:spLocks noChangeArrowheads="1"/>
          </xdr:cNvSpPr>
        </xdr:nvSpPr>
        <xdr:spPr bwMode="auto">
          <a:xfrm>
            <a:off x="4254188" y="12694414"/>
            <a:ext cx="285225" cy="266679"/>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84" name="Line 113">
            <a:extLst>
              <a:ext uri="{FF2B5EF4-FFF2-40B4-BE49-F238E27FC236}">
                <a16:creationId xmlns:a16="http://schemas.microsoft.com/office/drawing/2014/main" id="{00000000-0008-0000-0000-0000380D0000}"/>
              </a:ext>
            </a:extLst>
          </xdr:cNvPr>
          <xdr:cNvSpPr>
            <a:spLocks noChangeShapeType="1"/>
          </xdr:cNvSpPr>
        </xdr:nvSpPr>
        <xdr:spPr bwMode="auto">
          <a:xfrm>
            <a:off x="3911457" y="12398649"/>
            <a:ext cx="0" cy="677183"/>
          </a:xfrm>
          <a:prstGeom prst="line">
            <a:avLst/>
          </a:prstGeom>
          <a:noFill/>
          <a:ln w="9525">
            <a:solidFill>
              <a:srgbClr val="000000"/>
            </a:solidFill>
            <a:round/>
            <a:headEnd type="none" w="sm" len="med"/>
            <a:tailEnd type="none" w="sm" len="med"/>
          </a:ln>
        </xdr:spPr>
      </xdr:sp>
      <xdr:sp macro="" textlink="">
        <xdr:nvSpPr>
          <xdr:cNvPr id="3385" name="Line 114">
            <a:extLst>
              <a:ext uri="{FF2B5EF4-FFF2-40B4-BE49-F238E27FC236}">
                <a16:creationId xmlns:a16="http://schemas.microsoft.com/office/drawing/2014/main" id="{00000000-0008-0000-0000-0000390D0000}"/>
              </a:ext>
            </a:extLst>
          </xdr:cNvPr>
          <xdr:cNvSpPr>
            <a:spLocks noChangeShapeType="1"/>
          </xdr:cNvSpPr>
        </xdr:nvSpPr>
        <xdr:spPr bwMode="auto">
          <a:xfrm>
            <a:off x="3800392" y="13084115"/>
            <a:ext cx="233088" cy="0"/>
          </a:xfrm>
          <a:prstGeom prst="line">
            <a:avLst/>
          </a:prstGeom>
          <a:noFill/>
          <a:ln w="9525">
            <a:solidFill>
              <a:srgbClr val="000000"/>
            </a:solidFill>
            <a:round/>
            <a:headEnd/>
            <a:tailEnd/>
          </a:ln>
        </xdr:spPr>
      </xdr:sp>
      <xdr:sp macro="" textlink="">
        <xdr:nvSpPr>
          <xdr:cNvPr id="3386" name="Line 115">
            <a:extLst>
              <a:ext uri="{FF2B5EF4-FFF2-40B4-BE49-F238E27FC236}">
                <a16:creationId xmlns:a16="http://schemas.microsoft.com/office/drawing/2014/main" id="{00000000-0008-0000-0000-00003A0D0000}"/>
              </a:ext>
            </a:extLst>
          </xdr:cNvPr>
          <xdr:cNvSpPr>
            <a:spLocks noChangeShapeType="1"/>
          </xdr:cNvSpPr>
        </xdr:nvSpPr>
        <xdr:spPr bwMode="auto">
          <a:xfrm>
            <a:off x="3793637" y="12397527"/>
            <a:ext cx="233088" cy="0"/>
          </a:xfrm>
          <a:prstGeom prst="line">
            <a:avLst/>
          </a:prstGeom>
          <a:noFill/>
          <a:ln w="9525">
            <a:solidFill>
              <a:srgbClr val="000000"/>
            </a:solidFill>
            <a:round/>
            <a:headEnd/>
            <a:tailEnd/>
          </a:ln>
        </xdr:spPr>
      </xdr:sp>
      <xdr:sp macro="" textlink="">
        <xdr:nvSpPr>
          <xdr:cNvPr id="3387" name="Line 117">
            <a:extLst>
              <a:ext uri="{FF2B5EF4-FFF2-40B4-BE49-F238E27FC236}">
                <a16:creationId xmlns:a16="http://schemas.microsoft.com/office/drawing/2014/main" id="{00000000-0008-0000-0000-00003B0D0000}"/>
              </a:ext>
            </a:extLst>
          </xdr:cNvPr>
          <xdr:cNvSpPr>
            <a:spLocks noChangeShapeType="1"/>
          </xdr:cNvSpPr>
        </xdr:nvSpPr>
        <xdr:spPr bwMode="auto">
          <a:xfrm flipV="1">
            <a:off x="3832920" y="13037088"/>
            <a:ext cx="174816" cy="75243"/>
          </a:xfrm>
          <a:prstGeom prst="line">
            <a:avLst/>
          </a:prstGeom>
          <a:noFill/>
          <a:ln w="9525">
            <a:solidFill>
              <a:srgbClr val="000000"/>
            </a:solidFill>
            <a:round/>
            <a:headEnd/>
            <a:tailEnd/>
          </a:ln>
        </xdr:spPr>
      </xdr:sp>
      <xdr:sp macro="" textlink="">
        <xdr:nvSpPr>
          <xdr:cNvPr id="3388" name="Line 141">
            <a:extLst>
              <a:ext uri="{FF2B5EF4-FFF2-40B4-BE49-F238E27FC236}">
                <a16:creationId xmlns:a16="http://schemas.microsoft.com/office/drawing/2014/main" id="{00000000-0008-0000-0000-00003C0D0000}"/>
              </a:ext>
            </a:extLst>
          </xdr:cNvPr>
          <xdr:cNvSpPr>
            <a:spLocks noChangeShapeType="1"/>
          </xdr:cNvSpPr>
        </xdr:nvSpPr>
        <xdr:spPr bwMode="auto">
          <a:xfrm flipV="1">
            <a:off x="3854664" y="12359906"/>
            <a:ext cx="106832" cy="65837"/>
          </a:xfrm>
          <a:prstGeom prst="line">
            <a:avLst/>
          </a:prstGeom>
          <a:noFill/>
          <a:ln w="9525">
            <a:solidFill>
              <a:srgbClr val="000000"/>
            </a:solidFill>
            <a:round/>
            <a:headEnd/>
            <a:tailEnd/>
          </a:ln>
        </xdr:spPr>
      </xdr:sp>
      <xdr:sp macro="" textlink="">
        <xdr:nvSpPr>
          <xdr:cNvPr id="3389" name="Line 181">
            <a:extLst>
              <a:ext uri="{FF2B5EF4-FFF2-40B4-BE49-F238E27FC236}">
                <a16:creationId xmlns:a16="http://schemas.microsoft.com/office/drawing/2014/main" id="{00000000-0008-0000-0000-00003D0D0000}"/>
              </a:ext>
            </a:extLst>
          </xdr:cNvPr>
          <xdr:cNvSpPr>
            <a:spLocks noChangeShapeType="1"/>
          </xdr:cNvSpPr>
        </xdr:nvSpPr>
        <xdr:spPr bwMode="auto">
          <a:xfrm>
            <a:off x="3911457" y="11833208"/>
            <a:ext cx="0" cy="554914"/>
          </a:xfrm>
          <a:prstGeom prst="line">
            <a:avLst/>
          </a:prstGeom>
          <a:noFill/>
          <a:ln w="9525">
            <a:solidFill>
              <a:srgbClr val="000000"/>
            </a:solidFill>
            <a:round/>
            <a:headEnd type="none" w="sm" len="med"/>
            <a:tailEnd type="none" w="sm" len="med"/>
          </a:ln>
        </xdr:spPr>
      </xdr:sp>
      <xdr:sp macro="" textlink="">
        <xdr:nvSpPr>
          <xdr:cNvPr id="3390" name="Line 183">
            <a:extLst>
              <a:ext uri="{FF2B5EF4-FFF2-40B4-BE49-F238E27FC236}">
                <a16:creationId xmlns:a16="http://schemas.microsoft.com/office/drawing/2014/main" id="{00000000-0008-0000-0000-00003E0D0000}"/>
              </a:ext>
            </a:extLst>
          </xdr:cNvPr>
          <xdr:cNvSpPr>
            <a:spLocks noChangeShapeType="1"/>
          </xdr:cNvSpPr>
        </xdr:nvSpPr>
        <xdr:spPr bwMode="auto">
          <a:xfrm>
            <a:off x="3793637" y="11823803"/>
            <a:ext cx="233088" cy="0"/>
          </a:xfrm>
          <a:prstGeom prst="line">
            <a:avLst/>
          </a:prstGeom>
          <a:noFill/>
          <a:ln w="9525">
            <a:solidFill>
              <a:srgbClr val="000000"/>
            </a:solidFill>
            <a:round/>
            <a:headEnd/>
            <a:tailEnd/>
          </a:ln>
        </xdr:spPr>
      </xdr:sp>
      <xdr:sp macro="" textlink="">
        <xdr:nvSpPr>
          <xdr:cNvPr id="3391" name="Line 185">
            <a:extLst>
              <a:ext uri="{FF2B5EF4-FFF2-40B4-BE49-F238E27FC236}">
                <a16:creationId xmlns:a16="http://schemas.microsoft.com/office/drawing/2014/main" id="{00000000-0008-0000-0000-00003F0D0000}"/>
              </a:ext>
            </a:extLst>
          </xdr:cNvPr>
          <xdr:cNvSpPr>
            <a:spLocks noChangeShapeType="1"/>
          </xdr:cNvSpPr>
        </xdr:nvSpPr>
        <xdr:spPr bwMode="auto">
          <a:xfrm flipV="1">
            <a:off x="3862897" y="11795587"/>
            <a:ext cx="87408" cy="56432"/>
          </a:xfrm>
          <a:prstGeom prst="line">
            <a:avLst/>
          </a:prstGeom>
          <a:noFill/>
          <a:ln w="9525">
            <a:solidFill>
              <a:srgbClr val="000000"/>
            </a:solidFill>
            <a:round/>
            <a:headEnd/>
            <a:tailEnd/>
          </a:ln>
        </xdr:spPr>
      </xdr:sp>
      <xdr:sp macro="" textlink="">
        <xdr:nvSpPr>
          <xdr:cNvPr id="3392" name="Line 187">
            <a:extLst>
              <a:ext uri="{FF2B5EF4-FFF2-40B4-BE49-F238E27FC236}">
                <a16:creationId xmlns:a16="http://schemas.microsoft.com/office/drawing/2014/main" id="{00000000-0008-0000-0000-0000400D0000}"/>
              </a:ext>
            </a:extLst>
          </xdr:cNvPr>
          <xdr:cNvSpPr>
            <a:spLocks noChangeShapeType="1"/>
          </xdr:cNvSpPr>
        </xdr:nvSpPr>
        <xdr:spPr bwMode="auto">
          <a:xfrm>
            <a:off x="3913342" y="10632396"/>
            <a:ext cx="0" cy="1183123"/>
          </a:xfrm>
          <a:prstGeom prst="line">
            <a:avLst/>
          </a:prstGeom>
          <a:noFill/>
          <a:ln w="9525">
            <a:solidFill>
              <a:srgbClr val="000000"/>
            </a:solidFill>
            <a:round/>
            <a:headEnd type="none" w="sm" len="med"/>
            <a:tailEnd type="none" w="sm" len="med"/>
          </a:ln>
        </xdr:spPr>
      </xdr:sp>
      <xdr:sp macro="" textlink="">
        <xdr:nvSpPr>
          <xdr:cNvPr id="3393" name="Line 189">
            <a:extLst>
              <a:ext uri="{FF2B5EF4-FFF2-40B4-BE49-F238E27FC236}">
                <a16:creationId xmlns:a16="http://schemas.microsoft.com/office/drawing/2014/main" id="{00000000-0008-0000-0000-0000410D0000}"/>
              </a:ext>
            </a:extLst>
          </xdr:cNvPr>
          <xdr:cNvSpPr>
            <a:spLocks noChangeShapeType="1"/>
          </xdr:cNvSpPr>
        </xdr:nvSpPr>
        <xdr:spPr bwMode="auto">
          <a:xfrm>
            <a:off x="3787085" y="10611639"/>
            <a:ext cx="223376" cy="0"/>
          </a:xfrm>
          <a:prstGeom prst="line">
            <a:avLst/>
          </a:prstGeom>
          <a:noFill/>
          <a:ln w="9525">
            <a:solidFill>
              <a:srgbClr val="000000"/>
            </a:solidFill>
            <a:round/>
            <a:headEnd/>
            <a:tailEnd/>
          </a:ln>
        </xdr:spPr>
      </xdr:sp>
      <xdr:sp macro="" textlink="">
        <xdr:nvSpPr>
          <xdr:cNvPr id="455" name="Text Box 193">
            <a:extLst>
              <a:ext uri="{FF2B5EF4-FFF2-40B4-BE49-F238E27FC236}">
                <a16:creationId xmlns:a16="http://schemas.microsoft.com/office/drawing/2014/main" id="{00000000-0008-0000-0000-0000C7010000}"/>
              </a:ext>
            </a:extLst>
          </xdr:cNvPr>
          <xdr:cNvSpPr txBox="1">
            <a:spLocks noChangeArrowheads="1"/>
          </xdr:cNvSpPr>
        </xdr:nvSpPr>
        <xdr:spPr bwMode="auto">
          <a:xfrm>
            <a:off x="4254188" y="11151486"/>
            <a:ext cx="218673" cy="257155"/>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456" name="Text Box 194">
            <a:extLst>
              <a:ext uri="{FF2B5EF4-FFF2-40B4-BE49-F238E27FC236}">
                <a16:creationId xmlns:a16="http://schemas.microsoft.com/office/drawing/2014/main" id="{00000000-0008-0000-0000-0000C8010000}"/>
              </a:ext>
            </a:extLst>
          </xdr:cNvPr>
          <xdr:cNvSpPr txBox="1">
            <a:spLocks noChangeArrowheads="1"/>
          </xdr:cNvSpPr>
        </xdr:nvSpPr>
        <xdr:spPr bwMode="auto">
          <a:xfrm>
            <a:off x="4273203" y="12113435"/>
            <a:ext cx="218673" cy="209533"/>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m</a:t>
            </a:r>
          </a:p>
        </xdr:txBody>
      </xdr:sp>
      <xdr:sp macro="" textlink="">
        <xdr:nvSpPr>
          <xdr:cNvPr id="3396" name="Line 214">
            <a:extLst>
              <a:ext uri="{FF2B5EF4-FFF2-40B4-BE49-F238E27FC236}">
                <a16:creationId xmlns:a16="http://schemas.microsoft.com/office/drawing/2014/main" id="{00000000-0008-0000-0000-0000440D0000}"/>
              </a:ext>
            </a:extLst>
          </xdr:cNvPr>
          <xdr:cNvSpPr>
            <a:spLocks noChangeShapeType="1"/>
          </xdr:cNvSpPr>
        </xdr:nvSpPr>
        <xdr:spPr bwMode="auto">
          <a:xfrm flipV="1">
            <a:off x="4458258" y="10601112"/>
            <a:ext cx="77696" cy="47027"/>
          </a:xfrm>
          <a:prstGeom prst="line">
            <a:avLst/>
          </a:prstGeom>
          <a:noFill/>
          <a:ln w="9525">
            <a:solidFill>
              <a:srgbClr val="000000"/>
            </a:solidFill>
            <a:round/>
            <a:headEnd/>
            <a:tailEnd/>
          </a:ln>
        </xdr:spPr>
      </xdr:sp>
      <xdr:sp macro="" textlink="">
        <xdr:nvSpPr>
          <xdr:cNvPr id="3397" name="Line 215">
            <a:extLst>
              <a:ext uri="{FF2B5EF4-FFF2-40B4-BE49-F238E27FC236}">
                <a16:creationId xmlns:a16="http://schemas.microsoft.com/office/drawing/2014/main" id="{00000000-0008-0000-0000-0000450D0000}"/>
              </a:ext>
            </a:extLst>
          </xdr:cNvPr>
          <xdr:cNvSpPr>
            <a:spLocks noChangeShapeType="1"/>
          </xdr:cNvSpPr>
        </xdr:nvSpPr>
        <xdr:spPr bwMode="auto">
          <a:xfrm flipV="1">
            <a:off x="4458258" y="13065304"/>
            <a:ext cx="106832" cy="56432"/>
          </a:xfrm>
          <a:prstGeom prst="line">
            <a:avLst/>
          </a:prstGeom>
          <a:noFill/>
          <a:ln w="9525">
            <a:solidFill>
              <a:srgbClr val="000000"/>
            </a:solidFill>
            <a:round/>
            <a:headEnd/>
            <a:tailEnd/>
          </a:ln>
        </xdr:spPr>
      </xdr:sp>
      <xdr:sp macro="" textlink="">
        <xdr:nvSpPr>
          <xdr:cNvPr id="3398" name="Line 219">
            <a:extLst>
              <a:ext uri="{FF2B5EF4-FFF2-40B4-BE49-F238E27FC236}">
                <a16:creationId xmlns:a16="http://schemas.microsoft.com/office/drawing/2014/main" id="{00000000-0008-0000-0000-0000460D0000}"/>
              </a:ext>
            </a:extLst>
          </xdr:cNvPr>
          <xdr:cNvSpPr>
            <a:spLocks noChangeShapeType="1"/>
          </xdr:cNvSpPr>
        </xdr:nvSpPr>
        <xdr:spPr bwMode="auto">
          <a:xfrm>
            <a:off x="4438834" y="10629328"/>
            <a:ext cx="126257" cy="0"/>
          </a:xfrm>
          <a:prstGeom prst="line">
            <a:avLst/>
          </a:prstGeom>
          <a:noFill/>
          <a:ln w="9525">
            <a:solidFill>
              <a:srgbClr val="000000"/>
            </a:solidFill>
            <a:round/>
            <a:headEnd/>
            <a:tailEnd/>
          </a:ln>
        </xdr:spPr>
      </xdr:sp>
      <xdr:sp macro="" textlink="">
        <xdr:nvSpPr>
          <xdr:cNvPr id="3399" name="Line 214">
            <a:extLst>
              <a:ext uri="{FF2B5EF4-FFF2-40B4-BE49-F238E27FC236}">
                <a16:creationId xmlns:a16="http://schemas.microsoft.com/office/drawing/2014/main" id="{00000000-0008-0000-0000-0000470D0000}"/>
              </a:ext>
            </a:extLst>
          </xdr:cNvPr>
          <xdr:cNvSpPr>
            <a:spLocks noChangeShapeType="1"/>
          </xdr:cNvSpPr>
        </xdr:nvSpPr>
        <xdr:spPr bwMode="auto">
          <a:xfrm flipV="1">
            <a:off x="3834167" y="10584546"/>
            <a:ext cx="194241" cy="47027"/>
          </a:xfrm>
          <a:prstGeom prst="line">
            <a:avLst/>
          </a:prstGeom>
          <a:noFill/>
          <a:ln w="9525">
            <a:solidFill>
              <a:srgbClr val="000000"/>
            </a:solidFill>
            <a:round/>
            <a:headEnd/>
            <a:tailEnd/>
          </a:ln>
        </xdr:spPr>
      </xdr:sp>
      <xdr:cxnSp macro="">
        <xdr:nvCxnSpPr>
          <xdr:cNvPr id="3400" name="Straight Connector 608">
            <a:extLst>
              <a:ext uri="{FF2B5EF4-FFF2-40B4-BE49-F238E27FC236}">
                <a16:creationId xmlns:a16="http://schemas.microsoft.com/office/drawing/2014/main" id="{00000000-0008-0000-0000-0000480D0000}"/>
              </a:ext>
            </a:extLst>
          </xdr:cNvPr>
          <xdr:cNvCxnSpPr>
            <a:cxnSpLocks noChangeShapeType="1"/>
          </xdr:cNvCxnSpPr>
        </xdr:nvCxnSpPr>
        <xdr:spPr bwMode="auto">
          <a:xfrm rot="10800000">
            <a:off x="4458258" y="13093520"/>
            <a:ext cx="126257" cy="0"/>
          </a:xfrm>
          <a:prstGeom prst="line">
            <a:avLst/>
          </a:prstGeom>
          <a:noFill/>
          <a:ln w="9525" algn="ctr">
            <a:solidFill>
              <a:srgbClr val="000000"/>
            </a:solidFill>
            <a:round/>
            <a:headEnd/>
            <a:tailEnd/>
          </a:ln>
        </xdr:spPr>
      </xdr:cxnSp>
      <xdr:cxnSp macro="">
        <xdr:nvCxnSpPr>
          <xdr:cNvPr id="3401" name="Straight Connector 249">
            <a:extLst>
              <a:ext uri="{FF2B5EF4-FFF2-40B4-BE49-F238E27FC236}">
                <a16:creationId xmlns:a16="http://schemas.microsoft.com/office/drawing/2014/main" id="{00000000-0008-0000-0000-0000490D0000}"/>
              </a:ext>
            </a:extLst>
          </xdr:cNvPr>
          <xdr:cNvCxnSpPr>
            <a:cxnSpLocks noChangeShapeType="1"/>
          </xdr:cNvCxnSpPr>
        </xdr:nvCxnSpPr>
        <xdr:spPr bwMode="auto">
          <a:xfrm rot="5400000">
            <a:off x="3265010" y="11852019"/>
            <a:ext cx="2464192" cy="0"/>
          </a:xfrm>
          <a:prstGeom prst="line">
            <a:avLst/>
          </a:prstGeom>
          <a:noFill/>
          <a:ln w="9525" algn="ctr">
            <a:solidFill>
              <a:srgbClr val="000000"/>
            </a:solidFill>
            <a:round/>
            <a:headEnd/>
            <a:tailEnd/>
          </a:ln>
        </xdr:spPr>
      </xdr:cxnSp>
      <xdr:sp macro="" textlink="">
        <xdr:nvSpPr>
          <xdr:cNvPr id="3402" name="Line 8518">
            <a:extLst>
              <a:ext uri="{FF2B5EF4-FFF2-40B4-BE49-F238E27FC236}">
                <a16:creationId xmlns:a16="http://schemas.microsoft.com/office/drawing/2014/main" id="{00000000-0008-0000-0000-00004A0D0000}"/>
              </a:ext>
            </a:extLst>
          </xdr:cNvPr>
          <xdr:cNvSpPr>
            <a:spLocks noChangeShapeType="1"/>
          </xdr:cNvSpPr>
        </xdr:nvSpPr>
        <xdr:spPr bwMode="auto">
          <a:xfrm flipV="1">
            <a:off x="2457584" y="10610517"/>
            <a:ext cx="0" cy="1805820"/>
          </a:xfrm>
          <a:prstGeom prst="line">
            <a:avLst/>
          </a:prstGeom>
          <a:noFill/>
          <a:ln w="9525">
            <a:solidFill>
              <a:srgbClr val="000000"/>
            </a:solidFill>
            <a:prstDash val="dash"/>
            <a:round/>
            <a:headEnd/>
            <a:tailEnd/>
          </a:ln>
        </xdr:spPr>
      </xdr:sp>
      <xdr:sp macro="" textlink="">
        <xdr:nvSpPr>
          <xdr:cNvPr id="3403" name="Line 9012">
            <a:extLst>
              <a:ext uri="{FF2B5EF4-FFF2-40B4-BE49-F238E27FC236}">
                <a16:creationId xmlns:a16="http://schemas.microsoft.com/office/drawing/2014/main" id="{00000000-0008-0000-0000-00004B0D0000}"/>
              </a:ext>
            </a:extLst>
          </xdr:cNvPr>
          <xdr:cNvSpPr>
            <a:spLocks noChangeShapeType="1"/>
          </xdr:cNvSpPr>
        </xdr:nvSpPr>
        <xdr:spPr bwMode="auto">
          <a:xfrm flipH="1">
            <a:off x="2868418" y="10610517"/>
            <a:ext cx="160545" cy="94053"/>
          </a:xfrm>
          <a:prstGeom prst="line">
            <a:avLst/>
          </a:prstGeom>
          <a:noFill/>
          <a:ln w="9525">
            <a:solidFill>
              <a:srgbClr val="000000"/>
            </a:solidFill>
            <a:round/>
            <a:headEnd/>
            <a:tailEnd/>
          </a:ln>
        </xdr:spPr>
      </xdr:sp>
      <xdr:sp macro="" textlink="">
        <xdr:nvSpPr>
          <xdr:cNvPr id="3404" name="Line 9013">
            <a:extLst>
              <a:ext uri="{FF2B5EF4-FFF2-40B4-BE49-F238E27FC236}">
                <a16:creationId xmlns:a16="http://schemas.microsoft.com/office/drawing/2014/main" id="{00000000-0008-0000-0000-00004C0D0000}"/>
              </a:ext>
            </a:extLst>
          </xdr:cNvPr>
          <xdr:cNvSpPr>
            <a:spLocks noChangeShapeType="1"/>
          </xdr:cNvSpPr>
        </xdr:nvSpPr>
        <xdr:spPr bwMode="auto">
          <a:xfrm flipH="1">
            <a:off x="2950320" y="10615766"/>
            <a:ext cx="169989" cy="103458"/>
          </a:xfrm>
          <a:prstGeom prst="line">
            <a:avLst/>
          </a:prstGeom>
          <a:noFill/>
          <a:ln w="9525">
            <a:solidFill>
              <a:srgbClr val="000000"/>
            </a:solidFill>
            <a:round/>
            <a:headEnd/>
            <a:tailEnd/>
          </a:ln>
        </xdr:spPr>
      </xdr:sp>
      <xdr:sp macro="" textlink="">
        <xdr:nvSpPr>
          <xdr:cNvPr id="3405" name="Line 9014">
            <a:extLst>
              <a:ext uri="{FF2B5EF4-FFF2-40B4-BE49-F238E27FC236}">
                <a16:creationId xmlns:a16="http://schemas.microsoft.com/office/drawing/2014/main" id="{00000000-0008-0000-0000-00004D0D0000}"/>
              </a:ext>
            </a:extLst>
          </xdr:cNvPr>
          <xdr:cNvSpPr>
            <a:spLocks noChangeShapeType="1"/>
          </xdr:cNvSpPr>
        </xdr:nvSpPr>
        <xdr:spPr bwMode="auto">
          <a:xfrm>
            <a:off x="3113958" y="10610517"/>
            <a:ext cx="113326" cy="94053"/>
          </a:xfrm>
          <a:prstGeom prst="line">
            <a:avLst/>
          </a:prstGeom>
          <a:noFill/>
          <a:ln w="9525">
            <a:solidFill>
              <a:srgbClr val="000000"/>
            </a:solidFill>
            <a:round/>
            <a:headEnd/>
            <a:tailEnd/>
          </a:ln>
        </xdr:spPr>
      </xdr:sp>
      <xdr:sp macro="" textlink="">
        <xdr:nvSpPr>
          <xdr:cNvPr id="3406" name="Line 9015">
            <a:extLst>
              <a:ext uri="{FF2B5EF4-FFF2-40B4-BE49-F238E27FC236}">
                <a16:creationId xmlns:a16="http://schemas.microsoft.com/office/drawing/2014/main" id="{00000000-0008-0000-0000-00004E0D0000}"/>
              </a:ext>
            </a:extLst>
          </xdr:cNvPr>
          <xdr:cNvSpPr>
            <a:spLocks noChangeShapeType="1"/>
          </xdr:cNvSpPr>
        </xdr:nvSpPr>
        <xdr:spPr bwMode="auto">
          <a:xfrm>
            <a:off x="3208396" y="10610517"/>
            <a:ext cx="141658" cy="103458"/>
          </a:xfrm>
          <a:prstGeom prst="line">
            <a:avLst/>
          </a:prstGeom>
          <a:noFill/>
          <a:ln w="9525">
            <a:solidFill>
              <a:srgbClr val="000000"/>
            </a:solidFill>
            <a:round/>
            <a:headEnd/>
            <a:tailEnd/>
          </a:ln>
        </xdr:spPr>
      </xdr:sp>
      <xdr:sp macro="" textlink="">
        <xdr:nvSpPr>
          <xdr:cNvPr id="319" name="Rectangle 318">
            <a:extLst>
              <a:ext uri="{FF2B5EF4-FFF2-40B4-BE49-F238E27FC236}">
                <a16:creationId xmlns:a16="http://schemas.microsoft.com/office/drawing/2014/main" id="{00000000-0008-0000-0000-00003F010000}"/>
              </a:ext>
            </a:extLst>
          </xdr:cNvPr>
          <xdr:cNvSpPr/>
        </xdr:nvSpPr>
        <xdr:spPr>
          <a:xfrm>
            <a:off x="2157318" y="10294304"/>
            <a:ext cx="1563834" cy="314300"/>
          </a:xfrm>
          <a:prstGeom prst="rect">
            <a:avLst/>
          </a:prstGeom>
          <a:noFill/>
          <a:ln w="9525">
            <a:solidFill>
              <a:sysClr val="windowText" lastClr="000000"/>
            </a:solidFill>
          </a:ln>
        </xdr:spPr>
        <xdr:style>
          <a:lnRef idx="2">
            <a:schemeClr val="dk1"/>
          </a:lnRef>
          <a:fillRef idx="1">
            <a:schemeClr val="lt1"/>
          </a:fillRef>
          <a:effectRef idx="0">
            <a:schemeClr val="dk1"/>
          </a:effectRef>
          <a:fontRef idx="minor">
            <a:schemeClr val="dk1"/>
          </a:fontRef>
        </xdr:style>
        <xdr:txBody>
          <a:bodyPr rtlCol="0" anchor="ctr"/>
          <a:lstStyle/>
          <a:p>
            <a:pPr algn="ctr"/>
            <a:endParaRPr lang="en-IN" sz="1100"/>
          </a:p>
        </xdr:txBody>
      </xdr:sp>
      <xdr:cxnSp macro="">
        <xdr:nvCxnSpPr>
          <xdr:cNvPr id="321" name="Straight Connector 320">
            <a:extLst>
              <a:ext uri="{FF2B5EF4-FFF2-40B4-BE49-F238E27FC236}">
                <a16:creationId xmlns:a16="http://schemas.microsoft.com/office/drawing/2014/main" id="{00000000-0008-0000-0000-000041010000}"/>
              </a:ext>
            </a:extLst>
          </xdr:cNvPr>
          <xdr:cNvCxnSpPr/>
        </xdr:nvCxnSpPr>
        <xdr:spPr>
          <a:xfrm rot="5400000">
            <a:off x="3759530" y="10465741"/>
            <a:ext cx="30477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3" name="Straight Connector 322">
            <a:extLst>
              <a:ext uri="{FF2B5EF4-FFF2-40B4-BE49-F238E27FC236}">
                <a16:creationId xmlns:a16="http://schemas.microsoft.com/office/drawing/2014/main" id="{00000000-0008-0000-0000-000043010000}"/>
              </a:ext>
            </a:extLst>
          </xdr:cNvPr>
          <xdr:cNvCxnSpPr/>
        </xdr:nvCxnSpPr>
        <xdr:spPr>
          <a:xfrm>
            <a:off x="3835858" y="10313353"/>
            <a:ext cx="133105"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5" name="Straight Connector 324">
            <a:extLst>
              <a:ext uri="{FF2B5EF4-FFF2-40B4-BE49-F238E27FC236}">
                <a16:creationId xmlns:a16="http://schemas.microsoft.com/office/drawing/2014/main" id="{00000000-0008-0000-0000-000045010000}"/>
              </a:ext>
            </a:extLst>
          </xdr:cNvPr>
          <xdr:cNvCxnSpPr/>
        </xdr:nvCxnSpPr>
        <xdr:spPr>
          <a:xfrm rot="5400000" flipH="1" flipV="1">
            <a:off x="3869058" y="10280085"/>
            <a:ext cx="85718" cy="7606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26" name="Text Box 35">
            <a:extLst>
              <a:ext uri="{FF2B5EF4-FFF2-40B4-BE49-F238E27FC236}">
                <a16:creationId xmlns:a16="http://schemas.microsoft.com/office/drawing/2014/main" id="{00000000-0008-0000-0000-000046010000}"/>
              </a:ext>
            </a:extLst>
          </xdr:cNvPr>
          <xdr:cNvSpPr txBox="1">
            <a:spLocks noChangeArrowheads="1"/>
          </xdr:cNvSpPr>
        </xdr:nvSpPr>
        <xdr:spPr bwMode="auto">
          <a:xfrm>
            <a:off x="2875599" y="10332401"/>
            <a:ext cx="294733" cy="219058"/>
          </a:xfrm>
          <a:prstGeom prst="rect">
            <a:avLst/>
          </a:prstGeom>
          <a:noFill/>
          <a:ln w="9525">
            <a:noFill/>
            <a:miter lim="800000"/>
            <a:headEnd/>
            <a:tailEnd/>
          </a:ln>
        </xdr:spPr>
        <xdr:txBody>
          <a:bodyPr vertOverflow="clip" wrap="square" lIns="27432" tIns="18288" rIns="0" bIns="0" anchor="t" upright="1"/>
          <a:lstStyle/>
          <a:p>
            <a:pPr algn="l" rtl="1">
              <a:defRPr sz="1000"/>
            </a:pPr>
            <a:r>
              <a:rPr lang="en-US" sz="1000" b="0" i="0" strike="noStrike">
                <a:solidFill>
                  <a:srgbClr val="000000"/>
                </a:solidFill>
                <a:latin typeface="Arial"/>
                <a:cs typeface="Arial"/>
              </a:rPr>
              <a:t>S</a:t>
            </a:r>
          </a:p>
        </xdr:txBody>
      </xdr:sp>
      <xdr:cxnSp macro="">
        <xdr:nvCxnSpPr>
          <xdr:cNvPr id="1454" name="Straight Connector 1453">
            <a:extLst>
              <a:ext uri="{FF2B5EF4-FFF2-40B4-BE49-F238E27FC236}">
                <a16:creationId xmlns:a16="http://schemas.microsoft.com/office/drawing/2014/main" id="{00000000-0008-0000-0000-0000AE050000}"/>
              </a:ext>
            </a:extLst>
          </xdr:cNvPr>
          <xdr:cNvCxnSpPr/>
        </xdr:nvCxnSpPr>
        <xdr:spPr>
          <a:xfrm rot="10800000">
            <a:off x="669856" y="13380160"/>
            <a:ext cx="884199"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38" name="Straight Connector 1637">
            <a:extLst>
              <a:ext uri="{FF2B5EF4-FFF2-40B4-BE49-F238E27FC236}">
                <a16:creationId xmlns:a16="http://schemas.microsoft.com/office/drawing/2014/main" id="{00000000-0008-0000-0000-000066060000}"/>
              </a:ext>
            </a:extLst>
          </xdr:cNvPr>
          <xdr:cNvCxnSpPr/>
        </xdr:nvCxnSpPr>
        <xdr:spPr>
          <a:xfrm rot="5400000">
            <a:off x="2186305" y="12092293"/>
            <a:ext cx="0" cy="303289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97" name="Straight Connector 1696">
            <a:extLst>
              <a:ext uri="{FF2B5EF4-FFF2-40B4-BE49-F238E27FC236}">
                <a16:creationId xmlns:a16="http://schemas.microsoft.com/office/drawing/2014/main" id="{00000000-0008-0000-0000-0000A1060000}"/>
              </a:ext>
            </a:extLst>
          </xdr:cNvPr>
          <xdr:cNvCxnSpPr/>
        </xdr:nvCxnSpPr>
        <xdr:spPr>
          <a:xfrm rot="10800000">
            <a:off x="460691" y="11799135"/>
            <a:ext cx="1207454" cy="952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413052</xdr:colOff>
      <xdr:row>455</xdr:row>
      <xdr:rowOff>191293</xdr:rowOff>
    </xdr:from>
    <xdr:to>
      <xdr:col>4</xdr:col>
      <xdr:colOff>414640</xdr:colOff>
      <xdr:row>468</xdr:row>
      <xdr:rowOff>793</xdr:rowOff>
    </xdr:to>
    <xdr:cxnSp macro="">
      <xdr:nvCxnSpPr>
        <xdr:cNvPr id="1704" name="Straight Connector 1703">
          <a:extLst>
            <a:ext uri="{FF2B5EF4-FFF2-40B4-BE49-F238E27FC236}">
              <a16:creationId xmlns:a16="http://schemas.microsoft.com/office/drawing/2014/main" id="{00000000-0008-0000-0000-0000A8060000}"/>
            </a:ext>
          </a:extLst>
        </xdr:cNvPr>
        <xdr:cNvCxnSpPr/>
      </xdr:nvCxnSpPr>
      <xdr:spPr>
        <a:xfrm rot="5400000">
          <a:off x="1724354" y="81307370"/>
          <a:ext cx="2305707"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518154</xdr:colOff>
      <xdr:row>468</xdr:row>
      <xdr:rowOff>794</xdr:rowOff>
    </xdr:from>
    <xdr:to>
      <xdr:col>5</xdr:col>
      <xdr:colOff>519742</xdr:colOff>
      <xdr:row>474</xdr:row>
      <xdr:rowOff>184725</xdr:rowOff>
    </xdr:to>
    <xdr:cxnSp macro="">
      <xdr:nvCxnSpPr>
        <xdr:cNvPr id="1707" name="Straight Connector 1706">
          <a:extLst>
            <a:ext uri="{FF2B5EF4-FFF2-40B4-BE49-F238E27FC236}">
              <a16:creationId xmlns:a16="http://schemas.microsoft.com/office/drawing/2014/main" id="{00000000-0008-0000-0000-0000AB060000}"/>
            </a:ext>
          </a:extLst>
        </xdr:cNvPr>
        <xdr:cNvCxnSpPr/>
      </xdr:nvCxnSpPr>
      <xdr:spPr>
        <a:xfrm rot="5400000">
          <a:off x="2926474" y="83126974"/>
          <a:ext cx="13335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340794</xdr:colOff>
      <xdr:row>474</xdr:row>
      <xdr:rowOff>190503</xdr:rowOff>
    </xdr:from>
    <xdr:to>
      <xdr:col>3</xdr:col>
      <xdr:colOff>341587</xdr:colOff>
      <xdr:row>481</xdr:row>
      <xdr:rowOff>793</xdr:rowOff>
    </xdr:to>
    <xdr:cxnSp macro="">
      <xdr:nvCxnSpPr>
        <xdr:cNvPr id="1712" name="Straight Connector 1711">
          <a:extLst>
            <a:ext uri="{FF2B5EF4-FFF2-40B4-BE49-F238E27FC236}">
              <a16:creationId xmlns:a16="http://schemas.microsoft.com/office/drawing/2014/main" id="{00000000-0008-0000-0000-0000B0060000}"/>
            </a:ext>
          </a:extLst>
        </xdr:cNvPr>
        <xdr:cNvCxnSpPr/>
      </xdr:nvCxnSpPr>
      <xdr:spPr>
        <a:xfrm rot="5400000">
          <a:off x="1611890" y="84381648"/>
          <a:ext cx="1163497" cy="7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542925</xdr:colOff>
      <xdr:row>175</xdr:row>
      <xdr:rowOff>85725</xdr:rowOff>
    </xdr:from>
    <xdr:to>
      <xdr:col>3</xdr:col>
      <xdr:colOff>381000</xdr:colOff>
      <xdr:row>177</xdr:row>
      <xdr:rowOff>161925</xdr:rowOff>
    </xdr:to>
    <xdr:grpSp>
      <xdr:nvGrpSpPr>
        <xdr:cNvPr id="1235" name="Group 1234">
          <a:extLst>
            <a:ext uri="{FF2B5EF4-FFF2-40B4-BE49-F238E27FC236}">
              <a16:creationId xmlns:a16="http://schemas.microsoft.com/office/drawing/2014/main" id="{00000000-0008-0000-0000-0000D3040000}"/>
            </a:ext>
          </a:extLst>
        </xdr:cNvPr>
        <xdr:cNvGrpSpPr/>
      </xdr:nvGrpSpPr>
      <xdr:grpSpPr>
        <a:xfrm>
          <a:off x="1152525" y="34985325"/>
          <a:ext cx="1076325" cy="457200"/>
          <a:chOff x="1152525" y="25584150"/>
          <a:chExt cx="1076325" cy="457200"/>
        </a:xfrm>
      </xdr:grpSpPr>
      <xdr:sp macro="" textlink="">
        <xdr:nvSpPr>
          <xdr:cNvPr id="574" name="Text Box 8478">
            <a:extLst>
              <a:ext uri="{FF2B5EF4-FFF2-40B4-BE49-F238E27FC236}">
                <a16:creationId xmlns:a16="http://schemas.microsoft.com/office/drawing/2014/main" id="{00000000-0008-0000-0000-00003E020000}"/>
              </a:ext>
            </a:extLst>
          </xdr:cNvPr>
          <xdr:cNvSpPr txBox="1">
            <a:spLocks noChangeArrowheads="1"/>
          </xdr:cNvSpPr>
        </xdr:nvSpPr>
        <xdr:spPr bwMode="auto">
          <a:xfrm>
            <a:off x="1666875" y="25584150"/>
            <a:ext cx="314325" cy="20955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Symbol"/>
              </a:rPr>
              <a:t>a</a:t>
            </a:r>
            <a:r>
              <a:rPr lang="en-US" sz="1100" b="0" i="0" strike="noStrike" baseline="-25000">
                <a:solidFill>
                  <a:srgbClr val="000000"/>
                </a:solidFill>
                <a:latin typeface="Arial"/>
                <a:cs typeface="Arial"/>
              </a:rPr>
              <a:t>h</a:t>
            </a:r>
          </a:p>
        </xdr:txBody>
      </xdr:sp>
      <xdr:grpSp>
        <xdr:nvGrpSpPr>
          <xdr:cNvPr id="4132" name="Group 8479">
            <a:extLst>
              <a:ext uri="{FF2B5EF4-FFF2-40B4-BE49-F238E27FC236}">
                <a16:creationId xmlns:a16="http://schemas.microsoft.com/office/drawing/2014/main" id="{00000000-0008-0000-0000-000024100000}"/>
              </a:ext>
            </a:extLst>
          </xdr:cNvPr>
          <xdr:cNvGrpSpPr>
            <a:grpSpLocks/>
          </xdr:cNvGrpSpPr>
        </xdr:nvGrpSpPr>
        <xdr:grpSpPr bwMode="auto">
          <a:xfrm>
            <a:off x="1447800" y="25677623"/>
            <a:ext cx="512591" cy="252588"/>
            <a:chOff x="460" y="721"/>
            <a:chExt cx="176" cy="20"/>
          </a:xfrm>
        </xdr:grpSpPr>
        <xdr:sp macro="" textlink="">
          <xdr:nvSpPr>
            <xdr:cNvPr id="576" name="Text Box 8480">
              <a:extLst>
                <a:ext uri="{FF2B5EF4-FFF2-40B4-BE49-F238E27FC236}">
                  <a16:creationId xmlns:a16="http://schemas.microsoft.com/office/drawing/2014/main" id="{00000000-0008-0000-0000-000040020000}"/>
                </a:ext>
              </a:extLst>
            </xdr:cNvPr>
            <xdr:cNvSpPr txBox="1">
              <a:spLocks noChangeArrowheads="1"/>
            </xdr:cNvSpPr>
          </xdr:nvSpPr>
          <xdr:spPr bwMode="auto">
            <a:xfrm>
              <a:off x="460" y="721"/>
              <a:ext cx="85" cy="20"/>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 </a:t>
              </a:r>
            </a:p>
          </xdr:txBody>
        </xdr:sp>
        <xdr:sp macro="" textlink="">
          <xdr:nvSpPr>
            <xdr:cNvPr id="4135" name="Line 8481">
              <a:extLst>
                <a:ext uri="{FF2B5EF4-FFF2-40B4-BE49-F238E27FC236}">
                  <a16:creationId xmlns:a16="http://schemas.microsoft.com/office/drawing/2014/main" id="{00000000-0008-0000-0000-000027100000}"/>
                </a:ext>
              </a:extLst>
            </xdr:cNvPr>
            <xdr:cNvSpPr>
              <a:spLocks noChangeShapeType="1"/>
            </xdr:cNvSpPr>
          </xdr:nvSpPr>
          <xdr:spPr bwMode="auto">
            <a:xfrm>
              <a:off x="505" y="731"/>
              <a:ext cx="131" cy="0"/>
            </a:xfrm>
            <a:prstGeom prst="line">
              <a:avLst/>
            </a:prstGeom>
            <a:noFill/>
            <a:ln w="9525">
              <a:solidFill>
                <a:srgbClr val="000000"/>
              </a:solidFill>
              <a:round/>
              <a:headEnd/>
              <a:tailEnd/>
            </a:ln>
          </xdr:spPr>
        </xdr:sp>
      </xdr:grpSp>
      <xdr:sp macro="" textlink="">
        <xdr:nvSpPr>
          <xdr:cNvPr id="573" name="Text Box 8482">
            <a:extLst>
              <a:ext uri="{FF2B5EF4-FFF2-40B4-BE49-F238E27FC236}">
                <a16:creationId xmlns:a16="http://schemas.microsoft.com/office/drawing/2014/main" id="{00000000-0008-0000-0000-00003D020000}"/>
              </a:ext>
            </a:extLst>
          </xdr:cNvPr>
          <xdr:cNvSpPr txBox="1">
            <a:spLocks noChangeArrowheads="1"/>
          </xdr:cNvSpPr>
        </xdr:nvSpPr>
        <xdr:spPr bwMode="auto">
          <a:xfrm>
            <a:off x="1600200" y="25784175"/>
            <a:ext cx="628650" cy="257175"/>
          </a:xfrm>
          <a:prstGeom prst="rect">
            <a:avLst/>
          </a:prstGeom>
          <a:no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1±</a:t>
            </a:r>
            <a:r>
              <a:rPr lang="en-US" sz="1100" b="0" i="0" strike="noStrike">
                <a:solidFill>
                  <a:srgbClr val="000000"/>
                </a:solidFill>
                <a:latin typeface="Symbol"/>
              </a:rPr>
              <a:t>a</a:t>
            </a:r>
            <a:r>
              <a:rPr lang="en-US" sz="1100" b="0" i="0" strike="noStrike" baseline="-25000">
                <a:solidFill>
                  <a:srgbClr val="000000"/>
                </a:solidFill>
                <a:latin typeface="Arial"/>
                <a:cs typeface="Arial"/>
              </a:rPr>
              <a:t>v</a:t>
            </a:r>
          </a:p>
        </xdr:txBody>
      </xdr:sp>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a:off x="1152525" y="25660350"/>
            <a:ext cx="5905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IN" sz="1100"/>
              <a:t>tan</a:t>
            </a:r>
            <a:r>
              <a:rPr lang="en-IN" sz="1100" baseline="30000"/>
              <a:t> -1</a:t>
            </a:r>
          </a:p>
        </xdr:txBody>
      </xdr:sp>
    </xdr:grpSp>
    <xdr:clientData/>
  </xdr:twoCellAnchor>
  <xdr:twoCellAnchor editAs="oneCell">
    <xdr:from>
      <xdr:col>0</xdr:col>
      <xdr:colOff>33338</xdr:colOff>
      <xdr:row>0</xdr:row>
      <xdr:rowOff>66675</xdr:rowOff>
    </xdr:from>
    <xdr:to>
      <xdr:col>1</xdr:col>
      <xdr:colOff>585788</xdr:colOff>
      <xdr:row>0</xdr:row>
      <xdr:rowOff>619125</xdr:rowOff>
    </xdr:to>
    <xdr:pic>
      <xdr:nvPicPr>
        <xdr:cNvPr id="2" name="Image 1" descr="Picture">
          <a:extLst>
            <a:ext uri="{FF2B5EF4-FFF2-40B4-BE49-F238E27FC236}">
              <a16:creationId xmlns:a16="http://schemas.microsoft.com/office/drawing/2014/main" id="{02B7A1DB-1AAA-4961-BF74-DE7DF2AE67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7962" b="22749"/>
        <a:stretch>
          <a:fillRect/>
        </a:stretch>
      </xdr:blipFill>
      <xdr:spPr bwMode="auto">
        <a:xfrm>
          <a:off x="33338" y="66675"/>
          <a:ext cx="11620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104775</xdr:rowOff>
        </xdr:from>
        <xdr:to>
          <xdr:col>21</xdr:col>
          <xdr:colOff>571500</xdr:colOff>
          <xdr:row>31</xdr:row>
          <xdr:rowOff>19050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83"/>
  <sheetViews>
    <sheetView tabSelected="1" view="pageBreakPreview" topLeftCell="A74" zoomScaleSheetLayoutView="100" workbookViewId="0">
      <selection activeCell="T92" sqref="T92"/>
    </sheetView>
  </sheetViews>
  <sheetFormatPr defaultRowHeight="15" x14ac:dyDescent="0.25"/>
  <cols>
    <col min="3" max="3" width="9.42578125" bestFit="1" customWidth="1"/>
    <col min="4" max="4" width="10" bestFit="1" customWidth="1"/>
    <col min="13" max="13" width="10.5703125" bestFit="1" customWidth="1"/>
    <col min="14" max="14" width="9.5703125" bestFit="1" customWidth="1"/>
    <col min="15" max="15" width="11.140625" customWidth="1"/>
    <col min="17" max="17" width="9.5703125" bestFit="1" customWidth="1"/>
    <col min="18" max="18" width="10.5703125" bestFit="1" customWidth="1"/>
    <col min="19" max="20" width="9.28515625" bestFit="1" customWidth="1"/>
    <col min="21" max="21" width="9.5703125" bestFit="1" customWidth="1"/>
  </cols>
  <sheetData>
    <row r="1" spans="1:9" ht="51.4" customHeight="1" x14ac:dyDescent="0.25">
      <c r="A1" s="303"/>
      <c r="B1" s="304"/>
      <c r="C1" s="305" t="s">
        <v>288</v>
      </c>
      <c r="D1" s="306"/>
      <c r="E1" s="306"/>
      <c r="F1" s="306"/>
      <c r="G1" s="307"/>
      <c r="H1" s="308" t="s">
        <v>277</v>
      </c>
      <c r="I1" s="309"/>
    </row>
    <row r="2" spans="1:9" x14ac:dyDescent="0.25">
      <c r="A2" s="310" t="s">
        <v>278</v>
      </c>
      <c r="B2" s="311"/>
      <c r="C2" s="312" t="s">
        <v>289</v>
      </c>
      <c r="D2" s="312"/>
      <c r="E2" s="310" t="s">
        <v>279</v>
      </c>
      <c r="F2" s="311"/>
      <c r="G2" s="312">
        <v>40056</v>
      </c>
      <c r="H2" s="312"/>
      <c r="I2" s="271" t="s">
        <v>280</v>
      </c>
    </row>
    <row r="3" spans="1:9" x14ac:dyDescent="0.25">
      <c r="A3" s="299" t="s">
        <v>290</v>
      </c>
      <c r="B3" s="300"/>
      <c r="C3" s="300"/>
      <c r="D3" s="300"/>
      <c r="E3" s="300"/>
      <c r="F3" s="300"/>
      <c r="G3" s="300"/>
      <c r="H3" s="300"/>
      <c r="I3" s="301"/>
    </row>
    <row r="4" spans="1:9" x14ac:dyDescent="0.25">
      <c r="A4" s="272"/>
      <c r="B4" s="272"/>
      <c r="C4" s="272"/>
      <c r="D4" s="272"/>
      <c r="E4" s="272"/>
      <c r="F4" s="272"/>
      <c r="G4" s="272"/>
      <c r="H4" s="272"/>
      <c r="I4" s="272"/>
    </row>
    <row r="5" spans="1:9" x14ac:dyDescent="0.25">
      <c r="A5" s="272"/>
      <c r="B5" s="272"/>
      <c r="C5" s="272"/>
      <c r="D5" s="272"/>
      <c r="E5" s="272"/>
      <c r="F5" s="272"/>
      <c r="G5" s="272"/>
      <c r="H5" s="272"/>
      <c r="I5" s="272"/>
    </row>
    <row r="6" spans="1:9" x14ac:dyDescent="0.25">
      <c r="A6" s="272"/>
      <c r="B6" s="273" t="s">
        <v>281</v>
      </c>
      <c r="C6" s="274"/>
      <c r="D6" s="274"/>
      <c r="E6" s="274"/>
      <c r="F6" s="274"/>
      <c r="G6" s="274"/>
      <c r="H6" s="274"/>
      <c r="I6" s="272"/>
    </row>
    <row r="7" spans="1:9" x14ac:dyDescent="0.25">
      <c r="A7" s="272"/>
      <c r="B7" s="274" t="s">
        <v>282</v>
      </c>
      <c r="C7" s="274"/>
      <c r="D7" s="274"/>
      <c r="E7" s="274"/>
      <c r="F7" s="274"/>
      <c r="G7" s="274"/>
      <c r="H7" s="274"/>
      <c r="I7" s="272"/>
    </row>
    <row r="8" spans="1:9" x14ac:dyDescent="0.25">
      <c r="A8" s="272"/>
      <c r="B8" s="274" t="s">
        <v>283</v>
      </c>
      <c r="C8" s="274"/>
      <c r="D8" s="274"/>
      <c r="E8" s="274"/>
      <c r="F8" s="274"/>
      <c r="G8" s="274"/>
      <c r="H8" s="274"/>
      <c r="I8" s="272"/>
    </row>
    <row r="9" spans="1:9" x14ac:dyDescent="0.25">
      <c r="A9" s="272"/>
      <c r="B9" s="274" t="s">
        <v>291</v>
      </c>
      <c r="C9" s="274"/>
      <c r="D9" s="274"/>
      <c r="E9" s="274"/>
      <c r="F9" s="274"/>
      <c r="G9" s="274"/>
      <c r="H9" s="274"/>
      <c r="I9" s="272"/>
    </row>
    <row r="10" spans="1:9" x14ac:dyDescent="0.25">
      <c r="A10" s="272"/>
      <c r="B10" s="274" t="s">
        <v>284</v>
      </c>
      <c r="C10" s="274"/>
      <c r="D10" s="274"/>
      <c r="E10" s="274"/>
      <c r="F10" s="274"/>
      <c r="G10" s="274"/>
      <c r="H10" s="274"/>
      <c r="I10" s="272"/>
    </row>
    <row r="11" spans="1:9" x14ac:dyDescent="0.25">
      <c r="A11" s="272"/>
      <c r="B11" s="274" t="s">
        <v>285</v>
      </c>
      <c r="C11" s="274"/>
      <c r="D11" s="274"/>
      <c r="E11" s="274"/>
      <c r="F11" s="274"/>
      <c r="G11" s="274"/>
      <c r="H11" s="274"/>
      <c r="I11" s="272"/>
    </row>
    <row r="12" spans="1:9" x14ac:dyDescent="0.25">
      <c r="A12" s="272"/>
      <c r="B12" s="275" t="s">
        <v>286</v>
      </c>
      <c r="C12" s="274"/>
      <c r="D12" s="274"/>
      <c r="E12" s="274"/>
      <c r="F12" s="274"/>
      <c r="G12" s="274"/>
      <c r="H12" s="274"/>
      <c r="I12" s="272"/>
    </row>
    <row r="13" spans="1:9" x14ac:dyDescent="0.25">
      <c r="A13" s="272"/>
      <c r="B13" s="302" t="s">
        <v>287</v>
      </c>
      <c r="C13" s="302"/>
      <c r="D13" s="302"/>
      <c r="E13" s="302"/>
      <c r="F13" s="302"/>
      <c r="G13" s="302"/>
      <c r="H13" s="302"/>
      <c r="I13" s="272"/>
    </row>
    <row r="14" spans="1:9" x14ac:dyDescent="0.25">
      <c r="A14" s="272"/>
      <c r="B14" s="302"/>
      <c r="C14" s="302"/>
      <c r="D14" s="302"/>
      <c r="E14" s="302"/>
      <c r="F14" s="302"/>
      <c r="G14" s="302"/>
      <c r="H14" s="302"/>
      <c r="I14" s="272"/>
    </row>
    <row r="15" spans="1:9" x14ac:dyDescent="0.25">
      <c r="A15" s="272"/>
      <c r="B15" s="302"/>
      <c r="C15" s="302"/>
      <c r="D15" s="302"/>
      <c r="E15" s="302"/>
      <c r="F15" s="302"/>
      <c r="G15" s="302"/>
      <c r="H15" s="302"/>
      <c r="I15" s="272"/>
    </row>
    <row r="16" spans="1:9" x14ac:dyDescent="0.25">
      <c r="A16" s="272"/>
      <c r="B16" s="302"/>
      <c r="C16" s="302"/>
      <c r="D16" s="302"/>
      <c r="E16" s="302"/>
      <c r="F16" s="302"/>
      <c r="G16" s="302"/>
      <c r="H16" s="302"/>
      <c r="I16" s="272"/>
    </row>
    <row r="17" spans="1:9" x14ac:dyDescent="0.25">
      <c r="A17" s="272"/>
      <c r="B17" s="272"/>
      <c r="C17" s="272"/>
      <c r="D17" s="272"/>
      <c r="E17" s="272"/>
      <c r="F17" s="272"/>
      <c r="G17" s="272"/>
      <c r="H17" s="272"/>
      <c r="I17" s="272"/>
    </row>
    <row r="18" spans="1:9" x14ac:dyDescent="0.25">
      <c r="A18" s="272"/>
      <c r="B18" s="272"/>
      <c r="C18" s="272"/>
      <c r="D18" s="272"/>
      <c r="E18" s="272"/>
      <c r="F18" s="272"/>
      <c r="G18" s="272"/>
      <c r="H18" s="272"/>
      <c r="I18" s="272"/>
    </row>
    <row r="19" spans="1:9" x14ac:dyDescent="0.25">
      <c r="A19" s="272"/>
      <c r="B19" s="272"/>
      <c r="C19" s="272"/>
      <c r="D19" s="272"/>
      <c r="E19" s="272"/>
      <c r="F19" s="272"/>
      <c r="G19" s="272"/>
      <c r="H19" s="272"/>
      <c r="I19" s="272"/>
    </row>
    <row r="20" spans="1:9" x14ac:dyDescent="0.25">
      <c r="A20" s="272"/>
      <c r="B20" s="272"/>
      <c r="C20" s="272"/>
      <c r="D20" s="272"/>
      <c r="E20" s="272"/>
      <c r="F20" s="272"/>
      <c r="G20" s="272"/>
      <c r="H20" s="272"/>
      <c r="I20" s="272"/>
    </row>
    <row r="21" spans="1:9" x14ac:dyDescent="0.25">
      <c r="A21" s="272"/>
      <c r="B21" s="272"/>
      <c r="C21" s="272"/>
      <c r="D21" s="272"/>
      <c r="E21" s="272"/>
      <c r="F21" s="272"/>
      <c r="G21" s="272"/>
      <c r="H21" s="272"/>
      <c r="I21" s="272"/>
    </row>
    <row r="22" spans="1:9" x14ac:dyDescent="0.25">
      <c r="A22" s="272"/>
      <c r="B22" s="272"/>
      <c r="C22" s="272"/>
      <c r="D22" s="272"/>
      <c r="E22" s="272"/>
      <c r="F22" s="272"/>
      <c r="G22" s="272"/>
      <c r="H22" s="272"/>
      <c r="I22" s="272"/>
    </row>
    <row r="23" spans="1:9" x14ac:dyDescent="0.25">
      <c r="A23" s="272"/>
      <c r="B23" s="272"/>
      <c r="C23" s="272"/>
      <c r="D23" s="272"/>
      <c r="E23" s="272"/>
      <c r="F23" s="272"/>
      <c r="G23" s="272"/>
      <c r="H23" s="272"/>
      <c r="I23" s="272"/>
    </row>
    <row r="24" spans="1:9" x14ac:dyDescent="0.25">
      <c r="A24" s="272"/>
      <c r="B24" s="272"/>
      <c r="C24" s="272"/>
      <c r="D24" s="272"/>
      <c r="E24" s="272"/>
      <c r="F24" s="272"/>
      <c r="G24" s="272"/>
      <c r="H24" s="272"/>
      <c r="I24" s="272"/>
    </row>
    <row r="25" spans="1:9" x14ac:dyDescent="0.25">
      <c r="A25" s="272"/>
      <c r="B25" s="272"/>
      <c r="C25" s="272"/>
      <c r="D25" s="272"/>
      <c r="E25" s="272"/>
      <c r="F25" s="272"/>
      <c r="G25" s="272"/>
      <c r="H25" s="272"/>
      <c r="I25" s="272"/>
    </row>
    <row r="26" spans="1:9" x14ac:dyDescent="0.25">
      <c r="A26" s="272"/>
      <c r="B26" s="272"/>
      <c r="C26" s="272"/>
      <c r="D26" s="272"/>
      <c r="E26" s="272"/>
      <c r="F26" s="272"/>
      <c r="G26" s="272"/>
      <c r="H26" s="272"/>
      <c r="I26" s="272"/>
    </row>
    <row r="27" spans="1:9" x14ac:dyDescent="0.25">
      <c r="A27" s="272"/>
      <c r="B27" s="272"/>
      <c r="C27" s="272"/>
      <c r="D27" s="272"/>
      <c r="E27" s="272"/>
      <c r="F27" s="272"/>
      <c r="G27" s="272"/>
      <c r="H27" s="272"/>
      <c r="I27" s="272"/>
    </row>
    <row r="28" spans="1:9" x14ac:dyDescent="0.25">
      <c r="A28" s="272"/>
      <c r="B28" s="272"/>
      <c r="C28" s="272"/>
      <c r="D28" s="272"/>
      <c r="E28" s="272"/>
      <c r="F28" s="272"/>
      <c r="G28" s="272"/>
      <c r="H28" s="272"/>
      <c r="I28" s="272"/>
    </row>
    <row r="29" spans="1:9" x14ac:dyDescent="0.25">
      <c r="A29" s="272"/>
      <c r="B29" s="272"/>
      <c r="C29" s="272"/>
      <c r="D29" s="272"/>
      <c r="E29" s="272"/>
      <c r="F29" s="272"/>
      <c r="G29" s="272"/>
      <c r="H29" s="272"/>
      <c r="I29" s="272"/>
    </row>
    <row r="30" spans="1:9" x14ac:dyDescent="0.25">
      <c r="A30" s="272"/>
      <c r="B30" s="272"/>
      <c r="C30" s="272"/>
      <c r="D30" s="272"/>
      <c r="E30" s="272"/>
      <c r="F30" s="272"/>
      <c r="G30" s="272"/>
      <c r="H30" s="272"/>
      <c r="I30" s="272"/>
    </row>
    <row r="31" spans="1:9" x14ac:dyDescent="0.25">
      <c r="A31" s="272"/>
      <c r="B31" s="272"/>
      <c r="C31" s="272"/>
      <c r="D31" s="272"/>
      <c r="E31" s="272"/>
      <c r="F31" s="272"/>
      <c r="G31" s="272"/>
      <c r="H31" s="272"/>
      <c r="I31" s="272"/>
    </row>
    <row r="32" spans="1:9" x14ac:dyDescent="0.25">
      <c r="A32" s="272"/>
      <c r="B32" s="272"/>
      <c r="C32" s="272"/>
      <c r="D32" s="272"/>
      <c r="E32" s="272"/>
      <c r="F32" s="272"/>
      <c r="G32" s="272"/>
      <c r="H32" s="272"/>
      <c r="I32" s="272"/>
    </row>
    <row r="33" spans="1:9" x14ac:dyDescent="0.25">
      <c r="A33" s="272"/>
      <c r="B33" s="272"/>
      <c r="C33" s="272"/>
      <c r="D33" s="272"/>
      <c r="E33" s="272"/>
      <c r="F33" s="272"/>
      <c r="G33" s="272"/>
      <c r="H33" s="272"/>
      <c r="I33" s="272"/>
    </row>
    <row r="34" spans="1:9" x14ac:dyDescent="0.25">
      <c r="A34" s="272"/>
      <c r="B34" s="272"/>
      <c r="C34" s="272"/>
      <c r="D34" s="272"/>
      <c r="E34" s="272"/>
      <c r="F34" s="272"/>
      <c r="G34" s="272"/>
      <c r="H34" s="272"/>
      <c r="I34" s="272"/>
    </row>
    <row r="35" spans="1:9" x14ac:dyDescent="0.25">
      <c r="A35" s="272"/>
      <c r="B35" s="272"/>
      <c r="C35" s="272"/>
      <c r="D35" s="272"/>
      <c r="E35" s="272"/>
      <c r="F35" s="272"/>
      <c r="G35" s="272"/>
      <c r="H35" s="272"/>
      <c r="I35" s="272"/>
    </row>
    <row r="36" spans="1:9" x14ac:dyDescent="0.25">
      <c r="A36" s="272"/>
      <c r="B36" s="272"/>
      <c r="C36" s="272"/>
      <c r="D36" s="272"/>
      <c r="E36" s="272"/>
      <c r="F36" s="272"/>
      <c r="G36" s="272"/>
      <c r="H36" s="272"/>
      <c r="I36" s="272"/>
    </row>
    <row r="37" spans="1:9" x14ac:dyDescent="0.25">
      <c r="A37" s="272"/>
      <c r="B37" s="272"/>
      <c r="C37" s="272"/>
      <c r="D37" s="272"/>
      <c r="E37" s="272"/>
      <c r="F37" s="272"/>
      <c r="G37" s="272"/>
      <c r="H37" s="272"/>
      <c r="I37" s="272"/>
    </row>
    <row r="38" spans="1:9" x14ac:dyDescent="0.25">
      <c r="A38" s="272"/>
      <c r="B38" s="272"/>
      <c r="C38" s="272"/>
      <c r="D38" s="272"/>
      <c r="E38" s="272"/>
      <c r="F38" s="272"/>
      <c r="G38" s="272"/>
      <c r="H38" s="272"/>
      <c r="I38" s="272"/>
    </row>
    <row r="39" spans="1:9" x14ac:dyDescent="0.25">
      <c r="A39" s="272"/>
      <c r="B39" s="272"/>
      <c r="C39" s="272"/>
      <c r="D39" s="272"/>
      <c r="E39" s="272"/>
      <c r="F39" s="272"/>
      <c r="G39" s="272"/>
      <c r="H39" s="272"/>
      <c r="I39" s="272"/>
    </row>
    <row r="40" spans="1:9" x14ac:dyDescent="0.25">
      <c r="A40" s="272"/>
      <c r="B40" s="272"/>
      <c r="C40" s="272"/>
      <c r="D40" s="272"/>
      <c r="E40" s="272"/>
      <c r="F40" s="272"/>
      <c r="G40" s="272"/>
      <c r="H40" s="272"/>
      <c r="I40" s="272"/>
    </row>
    <row r="41" spans="1:9" x14ac:dyDescent="0.25">
      <c r="A41" s="272"/>
      <c r="B41" s="272"/>
      <c r="C41" s="272"/>
      <c r="D41" s="272"/>
      <c r="E41" s="272"/>
      <c r="F41" s="272"/>
      <c r="G41" s="272"/>
      <c r="H41" s="272"/>
      <c r="I41" s="272"/>
    </row>
    <row r="42" spans="1:9" x14ac:dyDescent="0.25">
      <c r="A42" s="272"/>
      <c r="B42" s="272"/>
      <c r="C42" s="272"/>
      <c r="D42" s="272"/>
      <c r="E42" s="272"/>
      <c r="F42" s="272"/>
      <c r="G42" s="272"/>
      <c r="H42" s="272"/>
      <c r="I42" s="272"/>
    </row>
    <row r="43" spans="1:9" x14ac:dyDescent="0.25">
      <c r="A43" s="272"/>
      <c r="B43" s="272"/>
      <c r="C43" s="272"/>
      <c r="D43" s="272"/>
      <c r="E43" s="272"/>
      <c r="F43" s="272"/>
      <c r="G43" s="272"/>
      <c r="H43" s="272"/>
      <c r="I43" s="272"/>
    </row>
    <row r="44" spans="1:9" x14ac:dyDescent="0.25">
      <c r="A44" s="272"/>
      <c r="B44" s="272"/>
      <c r="C44" s="272"/>
      <c r="D44" s="272"/>
      <c r="E44" s="272"/>
      <c r="F44" s="272"/>
      <c r="G44" s="272"/>
      <c r="H44" s="272"/>
      <c r="I44" s="272"/>
    </row>
    <row r="45" spans="1:9" x14ac:dyDescent="0.25">
      <c r="A45" s="272"/>
      <c r="B45" s="272"/>
      <c r="C45" s="272"/>
      <c r="D45" s="272"/>
      <c r="E45" s="272"/>
      <c r="F45" s="272"/>
      <c r="G45" s="272"/>
      <c r="H45" s="272"/>
      <c r="I45" s="272"/>
    </row>
    <row r="46" spans="1:9" x14ac:dyDescent="0.25">
      <c r="A46" s="272"/>
      <c r="B46" s="272"/>
      <c r="C46" s="272"/>
      <c r="D46" s="272"/>
      <c r="E46" s="272"/>
      <c r="F46" s="272"/>
      <c r="G46" s="272"/>
      <c r="H46" s="272"/>
      <c r="I46" s="272"/>
    </row>
    <row r="47" spans="1:9" x14ac:dyDescent="0.25">
      <c r="A47" s="272"/>
      <c r="B47" s="272"/>
      <c r="C47" s="272"/>
      <c r="D47" s="272"/>
      <c r="E47" s="272"/>
      <c r="F47" s="272"/>
      <c r="G47" s="272"/>
      <c r="H47" s="272"/>
      <c r="I47" s="272"/>
    </row>
    <row r="48" spans="1:9" x14ac:dyDescent="0.25">
      <c r="A48" s="272"/>
      <c r="B48" s="272"/>
      <c r="C48" s="272"/>
      <c r="D48" s="272"/>
      <c r="E48" s="272"/>
      <c r="F48" s="272"/>
      <c r="G48" s="272"/>
      <c r="H48" s="272"/>
      <c r="I48" s="272"/>
    </row>
    <row r="49" spans="1:9" x14ac:dyDescent="0.25">
      <c r="A49" s="1" t="s">
        <v>0</v>
      </c>
    </row>
    <row r="59" spans="1:9" x14ac:dyDescent="0.25">
      <c r="A59" s="190"/>
    </row>
    <row r="60" spans="1:9" x14ac:dyDescent="0.25">
      <c r="A60" s="1" t="s">
        <v>27</v>
      </c>
    </row>
    <row r="61" spans="1:9" x14ac:dyDescent="0.25">
      <c r="A61" t="s">
        <v>8</v>
      </c>
      <c r="F61" t="s">
        <v>1</v>
      </c>
    </row>
    <row r="62" spans="1:9" x14ac:dyDescent="0.25">
      <c r="A62" s="4" t="s">
        <v>3</v>
      </c>
      <c r="F62" s="4" t="s">
        <v>5</v>
      </c>
    </row>
    <row r="63" spans="1:9" x14ac:dyDescent="0.25">
      <c r="A63" s="97" t="s">
        <v>31</v>
      </c>
      <c r="B63" s="99"/>
      <c r="C63" s="99"/>
      <c r="D63" s="278">
        <v>4</v>
      </c>
      <c r="E63" s="256" t="s">
        <v>2</v>
      </c>
      <c r="F63" s="97" t="s">
        <v>37</v>
      </c>
      <c r="G63" s="99"/>
      <c r="H63" s="278">
        <v>3.9</v>
      </c>
      <c r="I63" s="256" t="s">
        <v>2</v>
      </c>
    </row>
    <row r="64" spans="1:9" ht="18" x14ac:dyDescent="0.35">
      <c r="A64" s="78" t="s">
        <v>32</v>
      </c>
      <c r="D64" s="279">
        <v>2</v>
      </c>
      <c r="E64" s="257" t="s">
        <v>2</v>
      </c>
      <c r="F64" s="78" t="s">
        <v>38</v>
      </c>
      <c r="H64" s="279">
        <v>5.5</v>
      </c>
      <c r="I64" s="257" t="s">
        <v>2</v>
      </c>
    </row>
    <row r="65" spans="1:18" ht="15" customHeight="1" x14ac:dyDescent="0.25">
      <c r="A65" s="78" t="s">
        <v>33</v>
      </c>
      <c r="D65" s="279">
        <v>0.45</v>
      </c>
      <c r="E65" s="257" t="s">
        <v>2</v>
      </c>
      <c r="F65" s="78" t="s">
        <v>39</v>
      </c>
      <c r="H65" s="279">
        <v>0.3</v>
      </c>
      <c r="I65" s="257" t="s">
        <v>2</v>
      </c>
    </row>
    <row r="66" spans="1:18" ht="18" x14ac:dyDescent="0.35">
      <c r="A66" s="78" t="s">
        <v>34</v>
      </c>
      <c r="D66" s="279">
        <v>0</v>
      </c>
      <c r="E66" s="257" t="s">
        <v>2</v>
      </c>
      <c r="F66" s="78" t="s">
        <v>40</v>
      </c>
      <c r="G66" s="136"/>
      <c r="H66" s="280">
        <v>1.1000000000000001</v>
      </c>
      <c r="I66" s="257" t="s">
        <v>2</v>
      </c>
    </row>
    <row r="67" spans="1:18" ht="18" x14ac:dyDescent="0.35">
      <c r="A67" s="78" t="s">
        <v>35</v>
      </c>
      <c r="D67" s="279">
        <v>1.1499999999999999</v>
      </c>
      <c r="E67" s="257" t="s">
        <v>2</v>
      </c>
      <c r="F67" s="78" t="s">
        <v>41</v>
      </c>
      <c r="H67">
        <f>H63+H64+D75</f>
        <v>11</v>
      </c>
      <c r="I67" s="257" t="s">
        <v>2</v>
      </c>
    </row>
    <row r="68" spans="1:18" x14ac:dyDescent="0.25">
      <c r="A68" s="78" t="s">
        <v>271</v>
      </c>
      <c r="D68">
        <f>D63+D64-H66</f>
        <v>4.9000000000000004</v>
      </c>
      <c r="E68" s="257" t="s">
        <v>2</v>
      </c>
      <c r="F68" s="78" t="s">
        <v>6</v>
      </c>
      <c r="H68" s="156">
        <f>IF((H66-H65)=0,0,H64/(H66-H65))</f>
        <v>6.875</v>
      </c>
      <c r="I68" s="257" t="s">
        <v>21</v>
      </c>
    </row>
    <row r="69" spans="1:18" x14ac:dyDescent="0.25">
      <c r="A69" s="78" t="s">
        <v>272</v>
      </c>
      <c r="D69">
        <f>D63+D64</f>
        <v>6</v>
      </c>
      <c r="E69" s="257" t="s">
        <v>2</v>
      </c>
      <c r="F69" s="78" t="s">
        <v>7</v>
      </c>
      <c r="H69" s="156">
        <f>IF((H66-H65)=0,0,H63/(H66-H65))</f>
        <v>4.875</v>
      </c>
      <c r="I69" s="257" t="s">
        <v>21</v>
      </c>
    </row>
    <row r="70" spans="1:18" x14ac:dyDescent="0.25">
      <c r="A70" s="78" t="s">
        <v>24</v>
      </c>
      <c r="D70" s="156">
        <f>IF(D66=0,0,D68/D66)</f>
        <v>0</v>
      </c>
      <c r="E70" s="257" t="s">
        <v>26</v>
      </c>
      <c r="F70" s="78" t="s">
        <v>213</v>
      </c>
      <c r="H70" s="276">
        <f>IF(H68=0,0,DEGREES(ATAN(1/H68)))</f>
        <v>8.2758928270752001</v>
      </c>
      <c r="I70" s="213" t="s">
        <v>28</v>
      </c>
    </row>
    <row r="71" spans="1:18" x14ac:dyDescent="0.25">
      <c r="A71" s="78" t="s">
        <v>25</v>
      </c>
      <c r="D71" s="156">
        <f>IF(D67=0,0,D68/D67)</f>
        <v>4.2608695652173916</v>
      </c>
      <c r="E71" s="257" t="s">
        <v>26</v>
      </c>
      <c r="F71" s="78" t="s">
        <v>214</v>
      </c>
      <c r="H71" s="276">
        <f>IF(H69=0,0,DEGREES(ATAN(1/H69)))</f>
        <v>11.59217541029107</v>
      </c>
      <c r="I71" s="213" t="s">
        <v>28</v>
      </c>
    </row>
    <row r="72" spans="1:18" x14ac:dyDescent="0.25">
      <c r="A72" s="78" t="s">
        <v>70</v>
      </c>
      <c r="D72" s="5">
        <f>DEGREES(ATAN(D71))</f>
        <v>76.792071537220892</v>
      </c>
      <c r="E72" s="213" t="s">
        <v>28</v>
      </c>
      <c r="F72" s="277" t="s">
        <v>42</v>
      </c>
      <c r="H72">
        <f>(D64-H66)</f>
        <v>0.89999999999999991</v>
      </c>
      <c r="I72" s="257" t="s">
        <v>2</v>
      </c>
    </row>
    <row r="73" spans="1:18" x14ac:dyDescent="0.25">
      <c r="A73" s="78" t="s">
        <v>71</v>
      </c>
      <c r="D73" s="5">
        <f>90-D72</f>
        <v>13.207928462779108</v>
      </c>
      <c r="E73" s="213" t="s">
        <v>28</v>
      </c>
      <c r="F73" s="277" t="s">
        <v>43</v>
      </c>
      <c r="H73">
        <f>(D64-H65)</f>
        <v>1.7</v>
      </c>
      <c r="I73" s="257" t="s">
        <v>2</v>
      </c>
      <c r="L73" s="5"/>
    </row>
    <row r="74" spans="1:18" x14ac:dyDescent="0.25">
      <c r="A74" s="78" t="s">
        <v>36</v>
      </c>
      <c r="D74" s="5">
        <f>(D68-D63)</f>
        <v>0.90000000000000036</v>
      </c>
      <c r="E74" s="213" t="s">
        <v>2</v>
      </c>
      <c r="F74" s="78"/>
      <c r="I74" s="114"/>
      <c r="L74" s="5"/>
    </row>
    <row r="75" spans="1:18" x14ac:dyDescent="0.25">
      <c r="A75" s="98" t="s">
        <v>4</v>
      </c>
      <c r="B75" s="111"/>
      <c r="C75" s="111"/>
      <c r="D75" s="111">
        <f>D65+D66+D67</f>
        <v>1.5999999999999999</v>
      </c>
      <c r="E75" s="258" t="s">
        <v>2</v>
      </c>
      <c r="F75" s="98"/>
      <c r="G75" s="111"/>
      <c r="H75" s="111"/>
      <c r="I75" s="116"/>
    </row>
    <row r="76" spans="1:18" x14ac:dyDescent="0.25">
      <c r="A76" s="4" t="s">
        <v>9</v>
      </c>
      <c r="F76" s="33" t="s">
        <v>157</v>
      </c>
    </row>
    <row r="77" spans="1:18" x14ac:dyDescent="0.25">
      <c r="A77" s="137" t="s">
        <v>151</v>
      </c>
      <c r="B77" s="99"/>
      <c r="C77" s="99"/>
      <c r="D77" s="278">
        <v>30</v>
      </c>
      <c r="E77" s="262" t="s">
        <v>28</v>
      </c>
      <c r="F77" s="137" t="s">
        <v>15</v>
      </c>
      <c r="G77" s="99"/>
      <c r="H77" s="99"/>
      <c r="I77" s="48"/>
    </row>
    <row r="78" spans="1:18" ht="17.25" x14ac:dyDescent="0.25">
      <c r="A78" s="138" t="s">
        <v>152</v>
      </c>
      <c r="D78" s="279">
        <v>18</v>
      </c>
      <c r="E78" s="3" t="s">
        <v>276</v>
      </c>
      <c r="F78" s="139" t="s">
        <v>16</v>
      </c>
      <c r="I78" s="281" t="s">
        <v>275</v>
      </c>
    </row>
    <row r="79" spans="1:18" ht="17.25" x14ac:dyDescent="0.25">
      <c r="A79" s="139" t="s">
        <v>10</v>
      </c>
      <c r="D79" s="279">
        <v>250</v>
      </c>
      <c r="E79" s="3" t="s">
        <v>97</v>
      </c>
      <c r="F79" s="138" t="s">
        <v>17</v>
      </c>
      <c r="I79" s="281">
        <v>0</v>
      </c>
      <c r="J79" s="3" t="s">
        <v>29</v>
      </c>
      <c r="K79" s="3"/>
      <c r="L79" s="3"/>
      <c r="M79" s="3"/>
      <c r="N79" s="3"/>
      <c r="O79" s="3"/>
      <c r="P79" s="3"/>
      <c r="Q79" s="3"/>
      <c r="R79" s="3"/>
    </row>
    <row r="80" spans="1:18" x14ac:dyDescent="0.25">
      <c r="A80" s="139" t="s">
        <v>153</v>
      </c>
      <c r="D80" s="279">
        <v>20</v>
      </c>
      <c r="E80" s="3" t="s">
        <v>28</v>
      </c>
      <c r="F80" s="139" t="s">
        <v>18</v>
      </c>
      <c r="I80" s="281">
        <v>5</v>
      </c>
      <c r="J80" s="73" t="s">
        <v>122</v>
      </c>
      <c r="K80" s="3"/>
      <c r="L80" s="3"/>
      <c r="M80" s="74" t="s">
        <v>123</v>
      </c>
      <c r="N80" s="74" t="s">
        <v>123</v>
      </c>
      <c r="O80" s="7"/>
      <c r="P80" s="75" t="s">
        <v>127</v>
      </c>
      <c r="Q80" s="74" t="s">
        <v>128</v>
      </c>
      <c r="R80" s="3"/>
    </row>
    <row r="81" spans="1:18" ht="18" x14ac:dyDescent="0.35">
      <c r="A81" s="139" t="s">
        <v>11</v>
      </c>
      <c r="D81" s="279">
        <v>0.5</v>
      </c>
      <c r="E81" s="263"/>
      <c r="F81" s="139" t="s">
        <v>22</v>
      </c>
      <c r="I81" s="281">
        <v>2.5</v>
      </c>
      <c r="J81" s="3" t="s">
        <v>120</v>
      </c>
      <c r="K81" s="7">
        <f>I91</f>
        <v>0.04</v>
      </c>
      <c r="L81" s="77" t="str">
        <f>IF(K81&lt;(C317-K86)/2000,"Ok","N.G")</f>
        <v>Ok</v>
      </c>
      <c r="M81" s="7">
        <f t="shared" ref="M81:N83" si="0">B90</f>
        <v>16</v>
      </c>
      <c r="N81" s="7">
        <f t="shared" si="0"/>
        <v>16</v>
      </c>
      <c r="O81" s="7" t="str">
        <f>IF(3*M81&lt;Q81/2,"Safe","Unsafe")</f>
        <v>Safe</v>
      </c>
      <c r="P81" s="76">
        <f>C322</f>
        <v>2677.9450062725482</v>
      </c>
      <c r="Q81" s="7">
        <f>D90</f>
        <v>300</v>
      </c>
      <c r="R81" s="77" t="str">
        <f>IF(P81&gt;Q81,"Safe","Unsafe")</f>
        <v>Safe</v>
      </c>
    </row>
    <row r="82" spans="1:18" x14ac:dyDescent="0.25">
      <c r="A82" s="78"/>
      <c r="D82" s="263"/>
      <c r="E82" s="257"/>
      <c r="F82" s="3" t="s">
        <v>19</v>
      </c>
      <c r="I82" s="281">
        <v>2.5</v>
      </c>
      <c r="J82" s="3" t="s">
        <v>121</v>
      </c>
      <c r="K82" s="7">
        <f>I91</f>
        <v>0.04</v>
      </c>
      <c r="L82" s="77" t="str">
        <f>IF(K82&lt;(D317-K87)/2000,"Ok","N.G")</f>
        <v>Ok</v>
      </c>
      <c r="M82" s="7">
        <f t="shared" si="0"/>
        <v>32</v>
      </c>
      <c r="N82" s="7">
        <f t="shared" si="0"/>
        <v>32</v>
      </c>
      <c r="O82" s="7" t="str">
        <f>IF(3*M82&lt;Q82/2,"Safe","Unsafe")</f>
        <v>Unsafe</v>
      </c>
      <c r="P82" s="76">
        <f>D322</f>
        <v>3302.4956277858728</v>
      </c>
      <c r="Q82" s="7">
        <f>D91</f>
        <v>160</v>
      </c>
      <c r="R82" s="77" t="str">
        <f>IF(P82&gt;Q82,"Safe","Unsafe")</f>
        <v>Safe</v>
      </c>
    </row>
    <row r="83" spans="1:18" x14ac:dyDescent="0.25">
      <c r="A83" s="98"/>
      <c r="B83" s="111"/>
      <c r="C83" s="111"/>
      <c r="D83" s="264"/>
      <c r="E83" s="258"/>
      <c r="F83" s="141" t="s">
        <v>20</v>
      </c>
      <c r="G83" s="111"/>
      <c r="H83" s="111"/>
      <c r="I83" s="282">
        <v>1</v>
      </c>
      <c r="J83" s="3" t="s">
        <v>125</v>
      </c>
      <c r="K83" s="7">
        <f>I91</f>
        <v>0.04</v>
      </c>
      <c r="L83" s="77" t="str">
        <f>IF(K83&lt;(E317-K88)/2000,"Ok","N.G")</f>
        <v>Ok</v>
      </c>
      <c r="M83" s="7">
        <f t="shared" si="0"/>
        <v>32</v>
      </c>
      <c r="N83" s="7">
        <f t="shared" si="0"/>
        <v>32</v>
      </c>
      <c r="O83" s="7" t="str">
        <f>IF(3*M83&lt;Q83/2,"Safe","Unsafe")</f>
        <v>Unsafe</v>
      </c>
      <c r="P83" s="76">
        <f>E322</f>
        <v>1646.038524870087</v>
      </c>
      <c r="Q83" s="7">
        <f>D92</f>
        <v>160</v>
      </c>
      <c r="R83" s="77" t="str">
        <f>IF(P83&gt;Q83,"Safe","Unsafe")</f>
        <v>Safe</v>
      </c>
    </row>
    <row r="84" spans="1:18" x14ac:dyDescent="0.25">
      <c r="A84" s="33" t="s">
        <v>12</v>
      </c>
      <c r="D84" s="263"/>
      <c r="E84" s="263"/>
      <c r="J84" s="3"/>
      <c r="K84" s="3"/>
      <c r="L84" s="3"/>
      <c r="M84" s="3"/>
      <c r="N84" s="3"/>
      <c r="O84" s="3"/>
      <c r="P84" s="3"/>
      <c r="Q84" s="3"/>
      <c r="R84" s="3"/>
    </row>
    <row r="85" spans="1:18" ht="17.25" customHeight="1" x14ac:dyDescent="0.25">
      <c r="A85" s="137" t="s">
        <v>13</v>
      </c>
      <c r="B85" s="99"/>
      <c r="C85" s="99"/>
      <c r="D85" s="265">
        <v>30</v>
      </c>
      <c r="E85" s="256"/>
      <c r="F85" s="313" t="s">
        <v>57</v>
      </c>
      <c r="G85" s="314"/>
      <c r="H85" s="317">
        <f>H87*D78</f>
        <v>21.599999999999998</v>
      </c>
      <c r="I85" s="319" t="s">
        <v>97</v>
      </c>
      <c r="J85" s="75" t="s">
        <v>130</v>
      </c>
      <c r="K85" s="3"/>
      <c r="L85" s="3"/>
      <c r="M85" s="3"/>
      <c r="N85" s="3"/>
      <c r="O85" s="3"/>
      <c r="P85" s="3"/>
      <c r="Q85" s="3"/>
      <c r="R85" s="3"/>
    </row>
    <row r="86" spans="1:18" x14ac:dyDescent="0.25">
      <c r="A86" s="139" t="s">
        <v>14</v>
      </c>
      <c r="D86" s="283">
        <v>415</v>
      </c>
      <c r="E86" s="257"/>
      <c r="F86" s="315"/>
      <c r="G86" s="316"/>
      <c r="H86" s="318"/>
      <c r="I86" s="320"/>
      <c r="J86" s="3" t="s">
        <v>120</v>
      </c>
      <c r="K86" s="8">
        <f>C320*F291*2/1000/F290</f>
        <v>53.616514621265786</v>
      </c>
      <c r="L86" s="3" t="s">
        <v>131</v>
      </c>
      <c r="M86" s="3"/>
      <c r="N86" s="3"/>
      <c r="O86" s="3"/>
      <c r="P86" s="3"/>
      <c r="Q86" s="3"/>
      <c r="R86" s="3"/>
    </row>
    <row r="87" spans="1:18" ht="18.75" x14ac:dyDescent="0.35">
      <c r="A87" s="140" t="s">
        <v>23</v>
      </c>
      <c r="B87" s="111"/>
      <c r="C87" s="111"/>
      <c r="D87" s="284">
        <v>24</v>
      </c>
      <c r="E87" s="266" t="s">
        <v>276</v>
      </c>
      <c r="F87" s="141" t="s">
        <v>60</v>
      </c>
      <c r="G87" s="111"/>
      <c r="H87" s="285">
        <v>1.2</v>
      </c>
      <c r="I87" s="259" t="s">
        <v>2</v>
      </c>
      <c r="J87" s="3" t="s">
        <v>121</v>
      </c>
      <c r="K87" s="8">
        <f>D320*F291*2/1000/F290</f>
        <v>402.12385965949346</v>
      </c>
      <c r="L87" s="3" t="s">
        <v>131</v>
      </c>
      <c r="M87" s="3"/>
      <c r="N87" s="3"/>
      <c r="O87" s="3"/>
      <c r="P87" s="3"/>
      <c r="Q87" s="3"/>
      <c r="R87" s="3"/>
    </row>
    <row r="88" spans="1:18" x14ac:dyDescent="0.25">
      <c r="A88" s="33" t="s">
        <v>268</v>
      </c>
      <c r="J88" s="3" t="s">
        <v>125</v>
      </c>
      <c r="K88" s="8">
        <f>E320*F291*2/1000/F290</f>
        <v>402.12385965949346</v>
      </c>
      <c r="L88" s="3" t="s">
        <v>131</v>
      </c>
      <c r="M88" s="3"/>
      <c r="N88" s="3"/>
      <c r="O88" s="3"/>
      <c r="P88" s="3"/>
      <c r="Q88" s="3"/>
      <c r="R88" s="3"/>
    </row>
    <row r="89" spans="1:18" x14ac:dyDescent="0.25">
      <c r="A89" s="35"/>
      <c r="B89" s="326" t="s">
        <v>167</v>
      </c>
      <c r="C89" s="327"/>
      <c r="D89" s="36" t="s">
        <v>160</v>
      </c>
      <c r="E89" s="38" t="s">
        <v>161</v>
      </c>
      <c r="F89" s="37" t="s">
        <v>160</v>
      </c>
      <c r="G89" s="328" t="s">
        <v>162</v>
      </c>
      <c r="H89" s="329"/>
      <c r="I89" s="44" t="s">
        <v>218</v>
      </c>
      <c r="J89" s="3"/>
      <c r="K89" s="3"/>
      <c r="L89" s="3"/>
      <c r="M89" s="3"/>
      <c r="N89" s="3"/>
      <c r="O89" s="3"/>
      <c r="P89" s="3"/>
      <c r="Q89" s="3"/>
      <c r="R89" s="3"/>
    </row>
    <row r="90" spans="1:18" x14ac:dyDescent="0.25">
      <c r="A90" s="40" t="s">
        <v>163</v>
      </c>
      <c r="B90" s="286">
        <v>16</v>
      </c>
      <c r="C90" s="290">
        <v>16</v>
      </c>
      <c r="D90" s="294">
        <v>300</v>
      </c>
      <c r="E90" s="267"/>
      <c r="F90" s="270"/>
      <c r="G90" s="267"/>
      <c r="H90" s="270"/>
      <c r="I90" s="270"/>
      <c r="J90" s="3" t="s">
        <v>140</v>
      </c>
      <c r="K90" s="3"/>
      <c r="L90" s="3"/>
      <c r="M90" s="3"/>
      <c r="N90" s="3"/>
      <c r="O90" s="3"/>
      <c r="P90" s="75" t="s">
        <v>127</v>
      </c>
      <c r="Q90" s="74" t="s">
        <v>128</v>
      </c>
      <c r="R90" s="3"/>
    </row>
    <row r="91" spans="1:18" x14ac:dyDescent="0.25">
      <c r="A91" s="41" t="s">
        <v>121</v>
      </c>
      <c r="B91" s="287">
        <v>32</v>
      </c>
      <c r="C91" s="291">
        <v>32</v>
      </c>
      <c r="D91" s="281">
        <v>160</v>
      </c>
      <c r="E91" s="287">
        <v>12</v>
      </c>
      <c r="F91" s="281">
        <v>100</v>
      </c>
      <c r="G91" s="287">
        <v>16</v>
      </c>
      <c r="H91" s="281">
        <v>100</v>
      </c>
      <c r="I91" s="296">
        <v>0.04</v>
      </c>
      <c r="J91" s="3" t="s">
        <v>141</v>
      </c>
      <c r="K91" s="7">
        <f>I93</f>
        <v>7.4999999999999997E-2</v>
      </c>
      <c r="L91" s="77" t="str">
        <f>IF(K91&lt;(C337-K95)/2000,"Ok","N.G")</f>
        <v>Ok</v>
      </c>
      <c r="M91" s="7">
        <f>B93</f>
        <v>25</v>
      </c>
      <c r="N91" s="7">
        <f>C93</f>
        <v>25</v>
      </c>
      <c r="O91" s="77" t="str">
        <f>IF(3*M91&lt;Q91/2,"Safe","Unsafe")</f>
        <v>Safe</v>
      </c>
      <c r="P91" s="76">
        <f>C342</f>
        <v>12332.007659898676</v>
      </c>
      <c r="Q91" s="7">
        <f>D93</f>
        <v>160</v>
      </c>
      <c r="R91" s="77" t="str">
        <f>IF(P91&gt;Q91,"Safe","Unsafe")</f>
        <v>Safe</v>
      </c>
    </row>
    <row r="92" spans="1:18" x14ac:dyDescent="0.25">
      <c r="A92" s="42" t="s">
        <v>164</v>
      </c>
      <c r="B92" s="288">
        <v>32</v>
      </c>
      <c r="C92" s="292">
        <v>32</v>
      </c>
      <c r="D92" s="282">
        <v>160</v>
      </c>
      <c r="E92" s="268"/>
      <c r="F92" s="260"/>
      <c r="G92" s="268"/>
      <c r="H92" s="260"/>
      <c r="I92" s="261"/>
      <c r="J92" s="3" t="s">
        <v>142</v>
      </c>
      <c r="K92" s="7">
        <f>I93</f>
        <v>7.4999999999999997E-2</v>
      </c>
      <c r="L92" s="77" t="str">
        <f>IF(K92&lt;(D337-K96)/2000,"Ok","N.G")</f>
        <v>Ok</v>
      </c>
      <c r="M92" s="7">
        <f>B94</f>
        <v>32</v>
      </c>
      <c r="N92" s="7">
        <f>C94</f>
        <v>25</v>
      </c>
      <c r="O92" s="77" t="str">
        <f>IF(3*M92&lt;Q92/2,"Safe","Unsafe")</f>
        <v>Unsafe</v>
      </c>
      <c r="P92" s="76">
        <f>D342</f>
        <v>365.60362691846012</v>
      </c>
      <c r="Q92" s="7">
        <f>D94</f>
        <v>160</v>
      </c>
      <c r="R92" s="77" t="str">
        <f>IF(P92&gt;Q92,"Safe","Unsafe")</f>
        <v>Safe</v>
      </c>
    </row>
    <row r="93" spans="1:18" x14ac:dyDescent="0.25">
      <c r="A93" s="40" t="s">
        <v>165</v>
      </c>
      <c r="B93" s="286">
        <v>25</v>
      </c>
      <c r="C93" s="290">
        <v>25</v>
      </c>
      <c r="D93" s="294">
        <v>160</v>
      </c>
      <c r="E93" s="286">
        <v>12</v>
      </c>
      <c r="F93" s="294">
        <v>150</v>
      </c>
      <c r="G93" s="286">
        <v>25</v>
      </c>
      <c r="H93" s="294">
        <v>200</v>
      </c>
      <c r="I93" s="294">
        <v>7.4999999999999997E-2</v>
      </c>
      <c r="J93" s="3"/>
      <c r="K93" s="3"/>
      <c r="L93" s="3"/>
      <c r="M93" s="3"/>
      <c r="N93" s="3"/>
      <c r="O93" s="3"/>
      <c r="P93" s="3"/>
      <c r="Q93" s="3"/>
      <c r="R93" s="3"/>
    </row>
    <row r="94" spans="1:18" x14ac:dyDescent="0.25">
      <c r="A94" s="42" t="s">
        <v>166</v>
      </c>
      <c r="B94" s="288">
        <v>32</v>
      </c>
      <c r="C94" s="292">
        <v>25</v>
      </c>
      <c r="D94" s="282">
        <v>160</v>
      </c>
      <c r="E94" s="269"/>
      <c r="F94" s="261"/>
      <c r="G94" s="269"/>
      <c r="H94" s="261"/>
      <c r="I94" s="261"/>
      <c r="J94" s="75" t="s">
        <v>130</v>
      </c>
      <c r="K94" s="3"/>
      <c r="L94" s="3"/>
      <c r="M94" s="3"/>
      <c r="N94" s="3"/>
      <c r="O94" s="3"/>
      <c r="P94" s="3"/>
      <c r="Q94" s="3"/>
      <c r="R94" s="3"/>
    </row>
    <row r="95" spans="1:18" x14ac:dyDescent="0.25">
      <c r="A95" s="43" t="s">
        <v>30</v>
      </c>
      <c r="B95" s="289">
        <v>32</v>
      </c>
      <c r="C95" s="293">
        <v>25</v>
      </c>
      <c r="D95" s="295">
        <v>160</v>
      </c>
      <c r="E95" s="289">
        <v>12</v>
      </c>
      <c r="F95" s="295">
        <v>150</v>
      </c>
      <c r="G95" s="289">
        <v>16</v>
      </c>
      <c r="H95" s="295">
        <v>160</v>
      </c>
      <c r="I95" s="295">
        <v>7.4999999999999997E-2</v>
      </c>
      <c r="J95" s="3" t="s">
        <v>120</v>
      </c>
      <c r="K95" s="76">
        <f>C340*F291*2/1000/F290</f>
        <v>323.780392860598</v>
      </c>
      <c r="L95" s="3" t="s">
        <v>131</v>
      </c>
      <c r="M95" s="3"/>
      <c r="N95" s="3"/>
      <c r="O95" s="3"/>
      <c r="P95" s="3"/>
      <c r="Q95" s="3"/>
      <c r="R95" s="3"/>
    </row>
    <row r="96" spans="1:18" x14ac:dyDescent="0.25">
      <c r="A96" s="1" t="s">
        <v>154</v>
      </c>
      <c r="J96" s="3" t="s">
        <v>121</v>
      </c>
      <c r="K96" s="76">
        <f>D340*F291*2/1000/F290</f>
        <v>245.43692606170262</v>
      </c>
      <c r="L96" s="3" t="s">
        <v>131</v>
      </c>
      <c r="M96" s="3"/>
      <c r="N96" s="3"/>
      <c r="O96" s="3"/>
      <c r="P96" s="3"/>
      <c r="Q96" s="3"/>
      <c r="R96" s="3"/>
    </row>
    <row r="98" spans="1:18" x14ac:dyDescent="0.25">
      <c r="A98" s="224" t="s">
        <v>55</v>
      </c>
    </row>
    <row r="99" spans="1:18" x14ac:dyDescent="0.25">
      <c r="A99" s="97"/>
      <c r="B99" s="99"/>
      <c r="C99" s="175">
        <f>D66</f>
        <v>0</v>
      </c>
      <c r="D99" s="175">
        <f>D65</f>
        <v>0.45</v>
      </c>
      <c r="E99" s="175">
        <f>D67</f>
        <v>1.1499999999999999</v>
      </c>
      <c r="F99" s="99"/>
      <c r="G99" s="99"/>
      <c r="H99" s="48"/>
      <c r="J99" s="3"/>
      <c r="K99" s="3"/>
      <c r="L99" s="3"/>
      <c r="M99" s="3"/>
      <c r="N99" s="3"/>
      <c r="O99" s="3"/>
      <c r="P99" s="3"/>
      <c r="Q99" s="3"/>
      <c r="R99" s="3"/>
    </row>
    <row r="100" spans="1:18" x14ac:dyDescent="0.25">
      <c r="A100" s="78"/>
      <c r="H100" s="114"/>
      <c r="J100" s="3" t="s">
        <v>143</v>
      </c>
      <c r="K100" s="3"/>
      <c r="L100" s="3"/>
      <c r="M100" s="3"/>
      <c r="N100" s="3"/>
      <c r="O100" s="3"/>
      <c r="P100" s="75" t="s">
        <v>127</v>
      </c>
      <c r="Q100" s="74" t="s">
        <v>128</v>
      </c>
      <c r="R100" s="3"/>
    </row>
    <row r="101" spans="1:18" x14ac:dyDescent="0.25">
      <c r="A101" s="78"/>
      <c r="G101">
        <v>1.2</v>
      </c>
      <c r="H101" s="114" t="s">
        <v>2</v>
      </c>
      <c r="J101" s="3" t="s">
        <v>141</v>
      </c>
      <c r="K101" s="7">
        <f>I95</f>
        <v>7.4999999999999997E-2</v>
      </c>
      <c r="L101" s="77" t="str">
        <f>IF(K101&lt;(D355-K104)/2000,"Ok","N.G")</f>
        <v>Ok</v>
      </c>
      <c r="M101" s="7">
        <f>B95</f>
        <v>32</v>
      </c>
      <c r="N101" s="7">
        <f>C95</f>
        <v>25</v>
      </c>
      <c r="O101" s="77" t="str">
        <f>IF(3*M101&lt;Q101/2,"Safe","Unsafe")</f>
        <v>Unsafe</v>
      </c>
      <c r="P101" s="76">
        <f>D360</f>
        <v>1027.0384284414424</v>
      </c>
      <c r="Q101" s="7">
        <f>D95</f>
        <v>160</v>
      </c>
      <c r="R101" s="77" t="str">
        <f>IF(P101&gt;Q101,"Safe","Unsafe")</f>
        <v>Safe</v>
      </c>
    </row>
    <row r="102" spans="1:18" x14ac:dyDescent="0.25">
      <c r="A102" s="78"/>
      <c r="H102" s="114"/>
      <c r="J102" s="3"/>
      <c r="K102" s="3"/>
      <c r="L102" s="3"/>
      <c r="M102" s="3"/>
      <c r="N102" s="3"/>
      <c r="O102" s="3"/>
      <c r="P102" s="3"/>
      <c r="Q102" s="3"/>
      <c r="R102" s="3"/>
    </row>
    <row r="103" spans="1:18" x14ac:dyDescent="0.25">
      <c r="A103" s="78"/>
      <c r="H103" s="114"/>
      <c r="J103" s="75" t="s">
        <v>130</v>
      </c>
      <c r="K103" s="3"/>
      <c r="L103" s="3"/>
      <c r="M103" s="3"/>
      <c r="N103" s="3"/>
      <c r="O103" s="3"/>
      <c r="P103" s="3"/>
      <c r="Q103" s="3"/>
      <c r="R103" s="3"/>
    </row>
    <row r="104" spans="1:18" x14ac:dyDescent="0.25">
      <c r="A104" s="78"/>
      <c r="H104" s="114"/>
      <c r="J104" s="3" t="s">
        <v>120</v>
      </c>
      <c r="K104" s="76">
        <f>D358*F291*2/1000/F290</f>
        <v>323.780392860598</v>
      </c>
      <c r="L104" s="3" t="s">
        <v>131</v>
      </c>
      <c r="M104" s="3"/>
      <c r="N104" s="3"/>
      <c r="O104" s="3"/>
      <c r="P104" s="3"/>
      <c r="Q104" s="3"/>
      <c r="R104" s="3"/>
    </row>
    <row r="105" spans="1:18" x14ac:dyDescent="0.25">
      <c r="A105" s="78"/>
      <c r="G105">
        <f>D63</f>
        <v>4</v>
      </c>
      <c r="H105" s="114"/>
    </row>
    <row r="106" spans="1:18" x14ac:dyDescent="0.25">
      <c r="A106" s="78"/>
      <c r="H106" s="114"/>
    </row>
    <row r="107" spans="1:18" x14ac:dyDescent="0.25">
      <c r="A107" s="223">
        <f>D69-H65</f>
        <v>5.7</v>
      </c>
      <c r="H107" s="114"/>
    </row>
    <row r="108" spans="1:18" x14ac:dyDescent="0.25">
      <c r="A108" s="78"/>
      <c r="H108" s="176">
        <f>D69</f>
        <v>6</v>
      </c>
    </row>
    <row r="109" spans="1:18" x14ac:dyDescent="0.25">
      <c r="A109" s="78"/>
      <c r="H109" s="114"/>
    </row>
    <row r="110" spans="1:18" x14ac:dyDescent="0.25">
      <c r="A110" s="78"/>
      <c r="G110" s="5">
        <f>D74</f>
        <v>0.90000000000000036</v>
      </c>
      <c r="H110" s="114"/>
    </row>
    <row r="111" spans="1:18" x14ac:dyDescent="0.25">
      <c r="A111" s="78"/>
      <c r="H111" s="114"/>
    </row>
    <row r="112" spans="1:18" x14ac:dyDescent="0.25">
      <c r="A112" s="78"/>
      <c r="H112" s="114"/>
    </row>
    <row r="113" spans="1:17" x14ac:dyDescent="0.25">
      <c r="A113" s="78"/>
      <c r="G113">
        <f>H66</f>
        <v>1.1000000000000001</v>
      </c>
      <c r="H113" s="114"/>
    </row>
    <row r="114" spans="1:17" x14ac:dyDescent="0.25">
      <c r="A114" s="112">
        <f>H65</f>
        <v>0.3</v>
      </c>
      <c r="H114" s="114"/>
    </row>
    <row r="115" spans="1:17" x14ac:dyDescent="0.25">
      <c r="A115" s="78"/>
      <c r="B115" s="2">
        <f>H63</f>
        <v>3.9</v>
      </c>
      <c r="D115" s="6">
        <f>D75</f>
        <v>1.5999999999999999</v>
      </c>
      <c r="E115" s="2">
        <f>H64</f>
        <v>5.5</v>
      </c>
      <c r="H115" s="114"/>
    </row>
    <row r="116" spans="1:17" x14ac:dyDescent="0.25">
      <c r="A116" s="78"/>
      <c r="H116" s="114"/>
    </row>
    <row r="117" spans="1:17" x14ac:dyDescent="0.25">
      <c r="A117" s="78"/>
      <c r="D117" s="6">
        <f>H67</f>
        <v>11</v>
      </c>
      <c r="H117" s="114"/>
    </row>
    <row r="118" spans="1:17" x14ac:dyDescent="0.25">
      <c r="A118" s="98"/>
      <c r="B118" s="111"/>
      <c r="C118" s="111"/>
      <c r="D118" s="111"/>
      <c r="E118" s="111"/>
      <c r="F118" s="111"/>
      <c r="G118" s="111"/>
      <c r="H118" s="116"/>
    </row>
    <row r="119" spans="1:17" x14ac:dyDescent="0.25">
      <c r="A119" s="141"/>
      <c r="B119" s="141"/>
      <c r="C119" s="177"/>
      <c r="D119" s="141"/>
      <c r="E119" s="141"/>
      <c r="F119" s="141"/>
      <c r="G119" s="111"/>
      <c r="H119" s="111"/>
    </row>
    <row r="120" spans="1:17" ht="30" x14ac:dyDescent="0.25">
      <c r="A120" s="178" t="s">
        <v>44</v>
      </c>
      <c r="B120" s="179" t="s">
        <v>45</v>
      </c>
      <c r="C120" s="179" t="s">
        <v>50</v>
      </c>
      <c r="D120" s="180" t="s">
        <v>46</v>
      </c>
      <c r="E120" s="178" t="s">
        <v>44</v>
      </c>
      <c r="F120" s="179" t="s">
        <v>45</v>
      </c>
      <c r="G120" s="179" t="s">
        <v>50</v>
      </c>
      <c r="H120" s="180" t="s">
        <v>46</v>
      </c>
      <c r="K120" s="85"/>
      <c r="L120" s="85"/>
      <c r="M120" s="85"/>
      <c r="N120" s="85"/>
      <c r="O120" s="85"/>
      <c r="P120" s="85"/>
      <c r="Q120" s="85"/>
    </row>
    <row r="121" spans="1:17" ht="15" customHeight="1" x14ac:dyDescent="0.25">
      <c r="A121" s="181" t="s">
        <v>47</v>
      </c>
      <c r="B121" s="182"/>
      <c r="C121" s="182"/>
      <c r="D121" s="183"/>
      <c r="E121" s="181" t="s">
        <v>48</v>
      </c>
      <c r="F121" s="182"/>
      <c r="G121" s="182"/>
      <c r="H121" s="183"/>
      <c r="L121" s="31"/>
    </row>
    <row r="122" spans="1:17" x14ac:dyDescent="0.25">
      <c r="A122" s="191">
        <v>1</v>
      </c>
      <c r="B122" s="7">
        <f>D68*D65*D87</f>
        <v>52.92</v>
      </c>
      <c r="C122" s="8">
        <f>H63+D66+D65/2</f>
        <v>4.125</v>
      </c>
      <c r="D122" s="184">
        <f>B122*C122</f>
        <v>218.29500000000002</v>
      </c>
      <c r="E122" s="7">
        <v>4</v>
      </c>
      <c r="F122" s="7">
        <f>0.5*H64*(H66-H65)*D87</f>
        <v>52.800000000000004</v>
      </c>
      <c r="G122" s="8">
        <f>H63+D75+H64/3</f>
        <v>7.333333333333333</v>
      </c>
      <c r="H122" s="184">
        <f>F122*G122</f>
        <v>387.2</v>
      </c>
    </row>
    <row r="123" spans="1:17" x14ac:dyDescent="0.25">
      <c r="A123" s="192">
        <v>2</v>
      </c>
      <c r="B123" s="7">
        <f>0.5*D67*D68*D87</f>
        <v>67.62</v>
      </c>
      <c r="C123" s="8">
        <f>H63+D66+D65+D67/3</f>
        <v>4.7333333333333325</v>
      </c>
      <c r="D123" s="185">
        <f>B123*C123</f>
        <v>320.06799999999998</v>
      </c>
      <c r="E123" s="7">
        <v>5</v>
      </c>
      <c r="F123" s="8">
        <f>D75*(H66-H65)*D87</f>
        <v>30.72</v>
      </c>
      <c r="G123" s="8">
        <f>H63+D75/2</f>
        <v>4.7</v>
      </c>
      <c r="H123" s="185">
        <f>F123*G123</f>
        <v>144.38399999999999</v>
      </c>
    </row>
    <row r="124" spans="1:17" x14ac:dyDescent="0.25">
      <c r="A124" s="192">
        <v>3</v>
      </c>
      <c r="B124" s="7">
        <f>0.5*D66*D68*D87</f>
        <v>0</v>
      </c>
      <c r="C124" s="8">
        <f>H63+D66*2/3</f>
        <v>3.9</v>
      </c>
      <c r="D124" s="185">
        <f>B124*C124</f>
        <v>0</v>
      </c>
      <c r="E124" s="7">
        <v>6</v>
      </c>
      <c r="F124" s="7">
        <f>0.5*H63*(H66-H65)*D87</f>
        <v>37.44</v>
      </c>
      <c r="G124" s="8">
        <f>H63*2/3</f>
        <v>2.6</v>
      </c>
      <c r="H124" s="185">
        <f>F124*G124</f>
        <v>97.343999999999994</v>
      </c>
    </row>
    <row r="125" spans="1:17" x14ac:dyDescent="0.25">
      <c r="A125" s="98"/>
      <c r="B125" s="111"/>
      <c r="C125" s="111"/>
      <c r="D125" s="116"/>
      <c r="E125" s="7">
        <v>7</v>
      </c>
      <c r="F125" s="8">
        <f>H65*H67*D87</f>
        <v>79.199999999999989</v>
      </c>
      <c r="G125" s="8">
        <f>H67/2</f>
        <v>5.5</v>
      </c>
      <c r="H125" s="189">
        <f>F125*G125</f>
        <v>435.59999999999991</v>
      </c>
    </row>
    <row r="126" spans="1:17" x14ac:dyDescent="0.25">
      <c r="A126" s="140"/>
      <c r="B126" s="177">
        <f>SUM(B122:B124)</f>
        <v>120.54</v>
      </c>
      <c r="C126" s="177"/>
      <c r="D126" s="169">
        <f>SUM(D122:D124)</f>
        <v>538.36300000000006</v>
      </c>
      <c r="E126" s="181"/>
      <c r="F126" s="186">
        <f>SUM(F122:F125)</f>
        <v>200.16</v>
      </c>
      <c r="G126" s="187"/>
      <c r="H126" s="188">
        <f>SUM(H122:H125)</f>
        <v>1064.5279999999998</v>
      </c>
      <c r="I126" s="9"/>
    </row>
    <row r="127" spans="1:17" x14ac:dyDescent="0.25">
      <c r="A127" s="3" t="s">
        <v>49</v>
      </c>
      <c r="B127" s="3"/>
      <c r="C127" s="3"/>
      <c r="D127" s="3"/>
      <c r="E127" s="3" t="s">
        <v>58</v>
      </c>
      <c r="F127" s="3"/>
      <c r="G127" s="3"/>
      <c r="H127" s="3"/>
    </row>
    <row r="128" spans="1:17" x14ac:dyDescent="0.25">
      <c r="A128" s="191">
        <v>8</v>
      </c>
      <c r="B128" s="170">
        <f>0.5*D65*D68*D78</f>
        <v>19.844999999999999</v>
      </c>
      <c r="C128" s="170">
        <f>H63+D66+D65+2*D67/3</f>
        <v>5.1166666666666663</v>
      </c>
      <c r="D128" s="184">
        <f>B128*C128</f>
        <v>101.54024999999999</v>
      </c>
      <c r="E128" s="99"/>
      <c r="F128" s="99"/>
      <c r="G128" s="99"/>
      <c r="H128" s="48"/>
    </row>
    <row r="129" spans="1:9" x14ac:dyDescent="0.25">
      <c r="A129" s="192">
        <v>9</v>
      </c>
      <c r="B129" s="8">
        <f>H64*D68*D78</f>
        <v>485.1</v>
      </c>
      <c r="C129" s="8">
        <f>H63+D75+H64/2</f>
        <v>8.25</v>
      </c>
      <c r="D129" s="185">
        <f>B129*C129</f>
        <v>4002.0750000000003</v>
      </c>
      <c r="E129" s="2" t="s">
        <v>59</v>
      </c>
      <c r="F129" s="2">
        <f>(H87*(H64+D67))*D78</f>
        <v>143.64000000000001</v>
      </c>
      <c r="G129" s="2">
        <f>(H64+D67)/2+D65+D66+H63</f>
        <v>7.6750000000000007</v>
      </c>
      <c r="H129" s="67">
        <f>F129*G129</f>
        <v>1102.4370000000001</v>
      </c>
    </row>
    <row r="130" spans="1:9" x14ac:dyDescent="0.25">
      <c r="A130" s="193">
        <v>10</v>
      </c>
      <c r="B130" s="169">
        <f>0.5*H64*(H66-H65)*D78</f>
        <v>39.6</v>
      </c>
      <c r="C130" s="169">
        <f>H63+D75+2*H64/3</f>
        <v>9.1666666666666661</v>
      </c>
      <c r="D130" s="189">
        <f>B130*C130</f>
        <v>363</v>
      </c>
      <c r="H130" s="114"/>
    </row>
    <row r="131" spans="1:9" x14ac:dyDescent="0.25">
      <c r="A131" s="140"/>
      <c r="B131" s="169">
        <f>SUM(B128:B130)</f>
        <v>544.54500000000007</v>
      </c>
      <c r="C131" s="177"/>
      <c r="D131" s="169">
        <f>SUM(D128:D130)</f>
        <v>4466.6152499999998</v>
      </c>
      <c r="E131" s="181"/>
      <c r="F131" s="186">
        <f>SUM(F128:F130)</f>
        <v>143.64000000000001</v>
      </c>
      <c r="G131" s="187"/>
      <c r="H131" s="188">
        <f>SUM(H128:H130)</f>
        <v>1102.4370000000001</v>
      </c>
    </row>
    <row r="132" spans="1:9" x14ac:dyDescent="0.25">
      <c r="A132" t="s">
        <v>54</v>
      </c>
      <c r="I132" s="9"/>
    </row>
    <row r="133" spans="1:9" ht="48" x14ac:dyDescent="0.25">
      <c r="A133" s="178" t="s">
        <v>44</v>
      </c>
      <c r="B133" s="179" t="s">
        <v>51</v>
      </c>
      <c r="C133" s="179" t="s">
        <v>53</v>
      </c>
      <c r="D133" s="180" t="s">
        <v>52</v>
      </c>
    </row>
    <row r="134" spans="1:9" x14ac:dyDescent="0.25">
      <c r="A134" s="191">
        <v>12</v>
      </c>
      <c r="B134" s="170">
        <f>D65*D63*D87</f>
        <v>43.2</v>
      </c>
      <c r="C134" s="170">
        <f>C122</f>
        <v>4.125</v>
      </c>
      <c r="D134" s="184">
        <f>B134*C134</f>
        <v>178.20000000000002</v>
      </c>
    </row>
    <row r="135" spans="1:9" x14ac:dyDescent="0.25">
      <c r="A135" s="192">
        <v>13</v>
      </c>
      <c r="B135" s="8">
        <f>(0.5*(D63*D66/D68)*D63)*D87</f>
        <v>0</v>
      </c>
      <c r="C135" s="8">
        <f>H63+D66-D63*D66/D68+D63*D66*2/D68/3</f>
        <v>3.9</v>
      </c>
      <c r="D135" s="185">
        <f>B135*C135</f>
        <v>0</v>
      </c>
      <c r="E135" s="12"/>
      <c r="F135" s="11"/>
      <c r="H135" s="13"/>
    </row>
    <row r="136" spans="1:9" x14ac:dyDescent="0.25">
      <c r="A136" s="193">
        <v>14</v>
      </c>
      <c r="B136" s="169">
        <f>(0.5*(D63*D67/D68)*D63)*D87</f>
        <v>45.061224489795912</v>
      </c>
      <c r="C136" s="169">
        <f>H63+D66+D65+D63*D67/D68/3</f>
        <v>4.6629251700680268</v>
      </c>
      <c r="D136" s="189">
        <f>B136*C136</f>
        <v>210.11711786755512</v>
      </c>
      <c r="E136" s="11"/>
      <c r="F136" s="11"/>
      <c r="G136" s="13"/>
      <c r="H136" s="10"/>
    </row>
    <row r="137" spans="1:9" x14ac:dyDescent="0.25">
      <c r="A137" s="181"/>
      <c r="B137" s="186">
        <f>SUM(B134:B136)</f>
        <v>88.261224489795921</v>
      </c>
      <c r="C137" s="81"/>
      <c r="D137" s="188">
        <f>SUM(D134:D136)</f>
        <v>388.31711786755511</v>
      </c>
    </row>
    <row r="139" spans="1:9" ht="18.75" x14ac:dyDescent="0.3">
      <c r="A139" s="22" t="s">
        <v>86</v>
      </c>
      <c r="B139" s="5">
        <f>B126+F126+B131</f>
        <v>865.24500000000012</v>
      </c>
      <c r="C139" t="s">
        <v>84</v>
      </c>
    </row>
    <row r="140" spans="1:9" ht="20.25" x14ac:dyDescent="0.35">
      <c r="A140" s="22" t="s">
        <v>92</v>
      </c>
      <c r="B140" s="5">
        <f>D126+H126+D131</f>
        <v>6069.5062499999995</v>
      </c>
      <c r="C140" t="s">
        <v>88</v>
      </c>
    </row>
    <row r="142" spans="1:9" x14ac:dyDescent="0.25">
      <c r="A142" s="4" t="s">
        <v>56</v>
      </c>
    </row>
    <row r="143" spans="1:9" ht="18" x14ac:dyDescent="0.35">
      <c r="A143" s="14" t="s">
        <v>61</v>
      </c>
      <c r="I143" s="15">
        <f>(1-SIN(PI()*D77/180))/(1+SIN(PI()*D77/180))</f>
        <v>0.33333333333333331</v>
      </c>
    </row>
    <row r="145" spans="1:9" ht="15" customHeight="1" x14ac:dyDescent="0.25">
      <c r="A145" s="219"/>
      <c r="B145" s="220"/>
      <c r="C145" s="220"/>
      <c r="D145" s="220"/>
      <c r="E145" s="220"/>
      <c r="F145" s="220"/>
      <c r="G145" s="99"/>
      <c r="H145" s="99"/>
      <c r="I145" s="48"/>
    </row>
    <row r="146" spans="1:9" x14ac:dyDescent="0.25">
      <c r="A146" s="78"/>
      <c r="E146" s="8"/>
      <c r="I146" s="114"/>
    </row>
    <row r="147" spans="1:9" x14ac:dyDescent="0.25">
      <c r="A147" s="78"/>
      <c r="E147" s="8"/>
      <c r="I147" s="114"/>
    </row>
    <row r="148" spans="1:9" x14ac:dyDescent="0.25">
      <c r="A148" s="78"/>
      <c r="E148" s="8"/>
      <c r="I148" s="114"/>
    </row>
    <row r="149" spans="1:9" x14ac:dyDescent="0.25">
      <c r="A149" s="78"/>
      <c r="E149" s="8"/>
      <c r="I149" s="114"/>
    </row>
    <row r="150" spans="1:9" x14ac:dyDescent="0.25">
      <c r="A150" s="78"/>
      <c r="E150" s="216">
        <f>-I143*D78*H87*D69</f>
        <v>-43.199999999999996</v>
      </c>
      <c r="I150" s="114"/>
    </row>
    <row r="151" spans="1:9" x14ac:dyDescent="0.25">
      <c r="A151" s="78"/>
      <c r="H151" s="217">
        <f>-0.5*I143*D78*D69^2</f>
        <v>-108</v>
      </c>
      <c r="I151" s="114"/>
    </row>
    <row r="152" spans="1:9" x14ac:dyDescent="0.25">
      <c r="A152" s="78"/>
      <c r="I152" s="114"/>
    </row>
    <row r="153" spans="1:9" x14ac:dyDescent="0.25">
      <c r="A153" s="78"/>
      <c r="H153" s="18">
        <f>H151*D69/3</f>
        <v>-216</v>
      </c>
      <c r="I153" s="114"/>
    </row>
    <row r="154" spans="1:9" x14ac:dyDescent="0.25">
      <c r="A154" s="78"/>
      <c r="B154" s="17"/>
      <c r="C154" s="17"/>
      <c r="D154" s="17"/>
      <c r="E154" s="216">
        <f>E150*D69/2</f>
        <v>-129.6</v>
      </c>
      <c r="F154" s="17"/>
      <c r="I154" s="114"/>
    </row>
    <row r="155" spans="1:9" x14ac:dyDescent="0.25">
      <c r="A155" s="98"/>
      <c r="B155" s="111"/>
      <c r="C155" s="111"/>
      <c r="D155" s="111"/>
      <c r="E155" s="111"/>
      <c r="F155" s="111"/>
      <c r="G155" s="111"/>
      <c r="H155" s="111"/>
      <c r="I155" s="116"/>
    </row>
    <row r="157" spans="1:9" x14ac:dyDescent="0.25">
      <c r="A157" s="16" t="s">
        <v>62</v>
      </c>
    </row>
    <row r="159" spans="1:9" ht="16.5" x14ac:dyDescent="0.3">
      <c r="A159" s="16" t="s">
        <v>63</v>
      </c>
      <c r="G159">
        <f>(I79/2)*I81/(I82/I83)</f>
        <v>0</v>
      </c>
    </row>
    <row r="161" spans="1:8" ht="18" x14ac:dyDescent="0.35">
      <c r="A161" s="16" t="s">
        <v>64</v>
      </c>
      <c r="E161" t="s">
        <v>65</v>
      </c>
      <c r="F161" s="2" t="s">
        <v>66</v>
      </c>
      <c r="G161" s="5">
        <f>G159/2</f>
        <v>0</v>
      </c>
    </row>
    <row r="162" spans="1:8" x14ac:dyDescent="0.25">
      <c r="A162" s="16"/>
      <c r="F162" s="2"/>
      <c r="G162" s="5"/>
    </row>
    <row r="163" spans="1:8" x14ac:dyDescent="0.25">
      <c r="B163" s="219" t="s">
        <v>82</v>
      </c>
      <c r="C163" s="99"/>
      <c r="D163" s="99"/>
      <c r="E163" s="99"/>
      <c r="F163" s="59"/>
      <c r="G163" s="221"/>
      <c r="H163" s="48"/>
    </row>
    <row r="164" spans="1:8" x14ac:dyDescent="0.25">
      <c r="A164" s="16"/>
      <c r="B164" s="78"/>
      <c r="F164" s="2"/>
      <c r="G164" s="5"/>
      <c r="H164" s="114"/>
    </row>
    <row r="165" spans="1:8" x14ac:dyDescent="0.25">
      <c r="A165" s="16"/>
      <c r="B165" s="78"/>
      <c r="F165" s="2"/>
      <c r="G165" s="5"/>
      <c r="H165" s="114"/>
    </row>
    <row r="166" spans="1:8" x14ac:dyDescent="0.25">
      <c r="A166" s="16"/>
      <c r="B166" s="78"/>
      <c r="F166" s="2"/>
      <c r="G166" s="5"/>
      <c r="H166" s="114"/>
    </row>
    <row r="167" spans="1:8" x14ac:dyDescent="0.25">
      <c r="A167" s="16"/>
      <c r="B167" s="78"/>
      <c r="F167" s="2"/>
      <c r="G167" s="5"/>
      <c r="H167" s="114"/>
    </row>
    <row r="168" spans="1:8" x14ac:dyDescent="0.25">
      <c r="A168" s="16"/>
      <c r="B168" s="78"/>
      <c r="F168" s="2"/>
      <c r="G168" s="5"/>
      <c r="H168" s="114"/>
    </row>
    <row r="169" spans="1:8" x14ac:dyDescent="0.25">
      <c r="A169" s="16"/>
      <c r="B169" s="78"/>
      <c r="F169" s="2"/>
      <c r="G169" s="5"/>
      <c r="H169" s="114"/>
    </row>
    <row r="170" spans="1:8" x14ac:dyDescent="0.25">
      <c r="A170" s="16"/>
      <c r="B170" s="78"/>
      <c r="F170" s="2"/>
      <c r="G170" s="5"/>
      <c r="H170" s="114"/>
    </row>
    <row r="171" spans="1:8" x14ac:dyDescent="0.25">
      <c r="A171" s="16"/>
      <c r="B171" s="98"/>
      <c r="C171" s="111"/>
      <c r="D171" s="111"/>
      <c r="E171" s="111"/>
      <c r="F171" s="62"/>
      <c r="G171" s="222"/>
      <c r="H171" s="116"/>
    </row>
    <row r="172" spans="1:8" x14ac:dyDescent="0.25">
      <c r="A172" s="16"/>
      <c r="F172" s="2"/>
      <c r="G172" s="5"/>
    </row>
    <row r="173" spans="1:8" x14ac:dyDescent="0.25">
      <c r="A173" s="16"/>
    </row>
    <row r="174" spans="1:8" x14ac:dyDescent="0.25">
      <c r="A174" s="16" t="s">
        <v>83</v>
      </c>
      <c r="E174" s="5">
        <f>B137*G161</f>
        <v>0</v>
      </c>
      <c r="F174" t="s">
        <v>84</v>
      </c>
    </row>
    <row r="175" spans="1:8" x14ac:dyDescent="0.25">
      <c r="A175" s="16" t="s">
        <v>94</v>
      </c>
      <c r="E175" s="5">
        <f>B137*G159</f>
        <v>0</v>
      </c>
      <c r="F175" t="s">
        <v>84</v>
      </c>
    </row>
    <row r="177" spans="1:18" x14ac:dyDescent="0.25">
      <c r="A177" s="19" t="s">
        <v>67</v>
      </c>
      <c r="B177" s="20" t="s">
        <v>68</v>
      </c>
    </row>
    <row r="178" spans="1:18" x14ac:dyDescent="0.25">
      <c r="G178" s="18">
        <f>DEGREES(ATAN(G159/(1-G161)))</f>
        <v>0</v>
      </c>
    </row>
    <row r="179" spans="1:18" x14ac:dyDescent="0.25">
      <c r="A179" t="s">
        <v>72</v>
      </c>
      <c r="D179">
        <v>0</v>
      </c>
    </row>
    <row r="180" spans="1:18" x14ac:dyDescent="0.25">
      <c r="A180" t="s">
        <v>73</v>
      </c>
      <c r="D180">
        <v>0</v>
      </c>
      <c r="G180" s="18">
        <f>DEGREES(ATAN(G159/(1+G161)))</f>
        <v>0</v>
      </c>
      <c r="N180" s="20"/>
      <c r="O180" s="17"/>
      <c r="P180" s="21"/>
      <c r="Q180" s="17"/>
      <c r="R180" s="17"/>
    </row>
    <row r="181" spans="1:18" x14ac:dyDescent="0.25">
      <c r="N181" s="20"/>
      <c r="O181" s="17"/>
      <c r="P181" s="21"/>
      <c r="Q181" s="17"/>
      <c r="R181" s="17"/>
    </row>
    <row r="182" spans="1:18" ht="18" x14ac:dyDescent="0.35">
      <c r="A182" s="14" t="s">
        <v>69</v>
      </c>
    </row>
    <row r="186" spans="1:18" x14ac:dyDescent="0.25">
      <c r="K186" s="5"/>
    </row>
    <row r="187" spans="1:18" x14ac:dyDescent="0.25">
      <c r="K187" s="5"/>
    </row>
    <row r="188" spans="1:18" x14ac:dyDescent="0.25">
      <c r="K188" s="5"/>
    </row>
    <row r="189" spans="1:18" x14ac:dyDescent="0.25">
      <c r="K189" s="5"/>
    </row>
    <row r="190" spans="1:18" x14ac:dyDescent="0.25">
      <c r="K190" s="5"/>
    </row>
    <row r="191" spans="1:18" ht="18" x14ac:dyDescent="0.35">
      <c r="A191" t="s">
        <v>74</v>
      </c>
      <c r="B191" s="9">
        <f>(1+G161)*((COS(PI()*(D77-G180+D179)/180))^2)/((COS(G180*PI()/180))*(COS(PI()*D179/180)^2)*(COS(PI()*(D180+D179+G180)/180))*((1+SQRT((SIN(PI()*(D77+D180)/180))*(SIN(PI()*(D77-0-G180)/180))/(COS(PI()*(D179-0)/180))/(COS(PI()*(D180+D179+G180)/180))))^2))</f>
        <v>0.33333333333333337</v>
      </c>
      <c r="C191" t="s">
        <v>75</v>
      </c>
    </row>
    <row r="192" spans="1:18" ht="18" x14ac:dyDescent="0.35">
      <c r="A192" t="s">
        <v>74</v>
      </c>
      <c r="B192" s="9">
        <f>(1-G161)*((COS(PI()*(D77-G178+D179)/180))^2)/((COS(G178*PI()/180))*(COS(PI()*D179/180)^2)*(COS(PI()*(D180+D179+G178)/180))*((1+SQRT((SIN(PI()*(D77+D180)/180))*(SIN(PI()*(D77-0-G178)/180))/(COS(PI()*(D179-0)/180))/(COS(PI()*(D180+D179+G178)/180))))^2))</f>
        <v>0.33333333333333337</v>
      </c>
      <c r="C192" t="s">
        <v>76</v>
      </c>
      <c r="K192" s="69" t="s">
        <v>178</v>
      </c>
    </row>
    <row r="193" spans="1:62" ht="18" x14ac:dyDescent="0.35">
      <c r="A193" t="s">
        <v>77</v>
      </c>
      <c r="B193" s="9">
        <f>(1-0)*((COS(PI()*(D77-0+D179)/180))^2)/((COS(0*PI()/180))*(COS(PI()*D179/180)^2)*(COS(PI()*(D180+D179+0)/180))*((1+SQRT((SIN(PI()*(D77+D180)/180))*(SIN(PI()*(D77-0-0)/180))/(COS(PI()*(D179-0)/180))/(COS(PI()*(D180+D179+0)/180))))^2))</f>
        <v>0.33333333333333337</v>
      </c>
      <c r="C193" t="s">
        <v>78</v>
      </c>
    </row>
    <row r="194" spans="1:62" ht="18" x14ac:dyDescent="0.35">
      <c r="A194" t="s">
        <v>79</v>
      </c>
      <c r="D194" s="9">
        <f>B191-B193</f>
        <v>0</v>
      </c>
      <c r="E194" s="28" t="s">
        <v>81</v>
      </c>
      <c r="K194" s="45" t="s">
        <v>13</v>
      </c>
      <c r="L194" s="46"/>
      <c r="M194" s="47" t="s">
        <v>168</v>
      </c>
      <c r="N194" s="47" t="s">
        <v>169</v>
      </c>
      <c r="O194" s="47" t="s">
        <v>170</v>
      </c>
      <c r="P194" s="47" t="s">
        <v>171</v>
      </c>
      <c r="Q194" s="46" t="s">
        <v>172</v>
      </c>
      <c r="T194" s="45" t="s">
        <v>13</v>
      </c>
      <c r="U194" s="46"/>
      <c r="V194" s="47" t="s">
        <v>168</v>
      </c>
      <c r="W194" s="47" t="s">
        <v>169</v>
      </c>
      <c r="X194" s="47" t="s">
        <v>170</v>
      </c>
      <c r="Y194" s="47" t="s">
        <v>171</v>
      </c>
      <c r="Z194" s="46" t="s">
        <v>172</v>
      </c>
      <c r="AC194" s="45" t="s">
        <v>13</v>
      </c>
      <c r="AD194" s="46"/>
      <c r="AE194" s="47" t="s">
        <v>168</v>
      </c>
      <c r="AF194" s="47" t="s">
        <v>169</v>
      </c>
      <c r="AG194" s="47" t="s">
        <v>170</v>
      </c>
      <c r="AH194" s="47" t="s">
        <v>171</v>
      </c>
      <c r="AI194" s="46" t="s">
        <v>172</v>
      </c>
      <c r="AL194" s="45" t="s">
        <v>13</v>
      </c>
      <c r="AM194" s="46"/>
      <c r="AN194" s="47" t="s">
        <v>168</v>
      </c>
      <c r="AO194" s="47" t="s">
        <v>169</v>
      </c>
      <c r="AP194" s="47" t="s">
        <v>170</v>
      </c>
      <c r="AQ194" s="47" t="s">
        <v>171</v>
      </c>
      <c r="AR194" s="46" t="s">
        <v>172</v>
      </c>
      <c r="AU194" s="45" t="s">
        <v>13</v>
      </c>
      <c r="AV194" s="46"/>
      <c r="AW194" s="47" t="s">
        <v>168</v>
      </c>
      <c r="AX194" s="47" t="s">
        <v>169</v>
      </c>
      <c r="AY194" s="47" t="s">
        <v>170</v>
      </c>
      <c r="AZ194" s="47" t="s">
        <v>171</v>
      </c>
      <c r="BA194" s="46" t="s">
        <v>172</v>
      </c>
      <c r="BD194" s="45" t="s">
        <v>13</v>
      </c>
      <c r="BE194" s="46"/>
      <c r="BF194" s="47" t="s">
        <v>168</v>
      </c>
      <c r="BG194" s="47" t="s">
        <v>169</v>
      </c>
      <c r="BH194" s="47" t="s">
        <v>170</v>
      </c>
      <c r="BI194" s="47" t="s">
        <v>171</v>
      </c>
      <c r="BJ194" s="46" t="s">
        <v>172</v>
      </c>
    </row>
    <row r="195" spans="1:62" ht="18" x14ac:dyDescent="0.35">
      <c r="A195" t="s">
        <v>80</v>
      </c>
      <c r="D195" s="9">
        <f>B192-B193</f>
        <v>0</v>
      </c>
      <c r="E195" t="s">
        <v>76</v>
      </c>
      <c r="K195" s="48"/>
      <c r="L195" s="49" t="s">
        <v>173</v>
      </c>
      <c r="M195" s="50"/>
      <c r="N195" s="50"/>
      <c r="O195" s="50"/>
      <c r="P195" s="50"/>
      <c r="Q195" s="51"/>
      <c r="T195" s="48"/>
      <c r="U195" s="49" t="s">
        <v>173</v>
      </c>
      <c r="V195" s="50"/>
      <c r="W195" s="50"/>
      <c r="X195" s="50"/>
      <c r="Y195" s="50"/>
      <c r="Z195" s="51"/>
      <c r="AC195" s="48"/>
      <c r="AD195" s="49" t="s">
        <v>173</v>
      </c>
      <c r="AE195" s="50"/>
      <c r="AF195" s="50"/>
      <c r="AG195" s="50"/>
      <c r="AH195" s="50"/>
      <c r="AI195" s="51"/>
      <c r="AL195" s="48"/>
      <c r="AM195" s="49" t="s">
        <v>173</v>
      </c>
      <c r="AN195" s="50"/>
      <c r="AO195" s="50"/>
      <c r="AP195" s="50"/>
      <c r="AQ195" s="50"/>
      <c r="AR195" s="51"/>
      <c r="AU195" s="48"/>
      <c r="AV195" s="49" t="s">
        <v>173</v>
      </c>
      <c r="AW195" s="50"/>
      <c r="AX195" s="50"/>
      <c r="AY195" s="50"/>
      <c r="AZ195" s="50"/>
      <c r="BA195" s="51"/>
      <c r="BD195" s="48"/>
      <c r="BE195" s="49" t="s">
        <v>173</v>
      </c>
      <c r="BF195" s="50"/>
      <c r="BG195" s="50"/>
      <c r="BH195" s="50"/>
      <c r="BI195" s="50"/>
      <c r="BJ195" s="51"/>
    </row>
    <row r="196" spans="1:62" x14ac:dyDescent="0.25">
      <c r="L196" s="52">
        <v>0.15</v>
      </c>
      <c r="M196" s="52">
        <v>0.18</v>
      </c>
      <c r="N196" s="52">
        <v>0.19</v>
      </c>
      <c r="O196" s="52">
        <v>0.2</v>
      </c>
      <c r="P196" s="52">
        <v>0.2</v>
      </c>
      <c r="Q196" s="52">
        <v>0.2</v>
      </c>
      <c r="U196" s="52">
        <v>0.15</v>
      </c>
      <c r="V196" s="52">
        <v>0.18</v>
      </c>
      <c r="W196" s="52">
        <v>0.19</v>
      </c>
      <c r="X196" s="52">
        <v>0.2</v>
      </c>
      <c r="Y196" s="52">
        <v>0.2</v>
      </c>
      <c r="Z196" s="52">
        <v>0.2</v>
      </c>
      <c r="AD196" s="52">
        <v>0.15</v>
      </c>
      <c r="AE196" s="52">
        <v>0.18</v>
      </c>
      <c r="AF196" s="52">
        <v>0.19</v>
      </c>
      <c r="AG196" s="52">
        <v>0.2</v>
      </c>
      <c r="AH196" s="52">
        <v>0.2</v>
      </c>
      <c r="AI196" s="52">
        <v>0.2</v>
      </c>
      <c r="AM196" s="52">
        <v>0.15</v>
      </c>
      <c r="AN196" s="52">
        <v>0.18</v>
      </c>
      <c r="AO196" s="52">
        <v>0.19</v>
      </c>
      <c r="AP196" s="52">
        <v>0.2</v>
      </c>
      <c r="AQ196" s="52">
        <v>0.2</v>
      </c>
      <c r="AR196" s="52">
        <v>0.2</v>
      </c>
      <c r="AV196" s="52">
        <v>0.15</v>
      </c>
      <c r="AW196" s="52">
        <v>0.18</v>
      </c>
      <c r="AX196" s="52">
        <v>0.19</v>
      </c>
      <c r="AY196" s="52">
        <v>0.2</v>
      </c>
      <c r="AZ196" s="52">
        <v>0.2</v>
      </c>
      <c r="BA196" s="52">
        <v>0.2</v>
      </c>
      <c r="BE196" s="52">
        <v>0.15</v>
      </c>
      <c r="BF196" s="52">
        <v>0.18</v>
      </c>
      <c r="BG196" s="52">
        <v>0.19</v>
      </c>
      <c r="BH196" s="52">
        <v>0.2</v>
      </c>
      <c r="BI196" s="52">
        <v>0.2</v>
      </c>
      <c r="BJ196" s="52">
        <v>0.2</v>
      </c>
    </row>
    <row r="197" spans="1:62" x14ac:dyDescent="0.25">
      <c r="L197" s="53">
        <v>0.25</v>
      </c>
      <c r="M197" s="53">
        <v>0.22</v>
      </c>
      <c r="N197" s="53">
        <v>0.23</v>
      </c>
      <c r="O197" s="53">
        <v>0.23</v>
      </c>
      <c r="P197" s="53">
        <v>0.23</v>
      </c>
      <c r="Q197" s="53">
        <v>0.23</v>
      </c>
      <c r="U197" s="53">
        <v>0.25</v>
      </c>
      <c r="V197" s="53">
        <v>0.22</v>
      </c>
      <c r="W197" s="53">
        <v>0.23</v>
      </c>
      <c r="X197" s="53">
        <v>0.23</v>
      </c>
      <c r="Y197" s="53">
        <v>0.23</v>
      </c>
      <c r="Z197" s="53">
        <v>0.23</v>
      </c>
      <c r="AD197" s="53">
        <v>0.25</v>
      </c>
      <c r="AE197" s="53">
        <v>0.22</v>
      </c>
      <c r="AF197" s="53">
        <v>0.23</v>
      </c>
      <c r="AG197" s="53">
        <v>0.23</v>
      </c>
      <c r="AH197" s="53">
        <v>0.23</v>
      </c>
      <c r="AI197" s="53">
        <v>0.23</v>
      </c>
      <c r="AM197" s="53">
        <v>0.25</v>
      </c>
      <c r="AN197" s="53">
        <v>0.22</v>
      </c>
      <c r="AO197" s="53">
        <v>0.23</v>
      </c>
      <c r="AP197" s="53">
        <v>0.23</v>
      </c>
      <c r="AQ197" s="53">
        <v>0.23</v>
      </c>
      <c r="AR197" s="53">
        <v>0.23</v>
      </c>
      <c r="AV197" s="53">
        <v>0.25</v>
      </c>
      <c r="AW197" s="53">
        <v>0.22</v>
      </c>
      <c r="AX197" s="53">
        <v>0.23</v>
      </c>
      <c r="AY197" s="53">
        <v>0.23</v>
      </c>
      <c r="AZ197" s="53">
        <v>0.23</v>
      </c>
      <c r="BA197" s="53">
        <v>0.23</v>
      </c>
      <c r="BE197" s="53">
        <v>0.25</v>
      </c>
      <c r="BF197" s="53">
        <v>0.22</v>
      </c>
      <c r="BG197" s="53">
        <v>0.23</v>
      </c>
      <c r="BH197" s="53">
        <v>0.23</v>
      </c>
      <c r="BI197" s="53">
        <v>0.23</v>
      </c>
      <c r="BJ197" s="53">
        <v>0.23</v>
      </c>
    </row>
    <row r="198" spans="1:62" x14ac:dyDescent="0.25">
      <c r="A198" s="97"/>
      <c r="B198" s="99"/>
      <c r="C198" s="99"/>
      <c r="D198" s="99"/>
      <c r="E198" s="99"/>
      <c r="F198" s="99"/>
      <c r="G198" s="99"/>
      <c r="H198" s="99"/>
      <c r="I198" s="48"/>
      <c r="L198" s="53">
        <v>0.5</v>
      </c>
      <c r="M198" s="53">
        <v>0.3</v>
      </c>
      <c r="N198" s="53">
        <v>0.31</v>
      </c>
      <c r="O198" s="53">
        <v>0.31</v>
      </c>
      <c r="P198" s="53">
        <v>0.31</v>
      </c>
      <c r="Q198" s="53">
        <v>0.32</v>
      </c>
      <c r="U198" s="53">
        <v>0.5</v>
      </c>
      <c r="V198" s="53">
        <v>0.3</v>
      </c>
      <c r="W198" s="53">
        <v>0.31</v>
      </c>
      <c r="X198" s="53">
        <v>0.31</v>
      </c>
      <c r="Y198" s="53">
        <v>0.31</v>
      </c>
      <c r="Z198" s="53">
        <v>0.32</v>
      </c>
      <c r="AD198" s="53">
        <v>0.5</v>
      </c>
      <c r="AE198" s="53">
        <v>0.3</v>
      </c>
      <c r="AF198" s="53">
        <v>0.31</v>
      </c>
      <c r="AG198" s="53">
        <v>0.31</v>
      </c>
      <c r="AH198" s="53">
        <v>0.31</v>
      </c>
      <c r="AI198" s="53">
        <v>0.32</v>
      </c>
      <c r="AM198" s="53">
        <v>0.5</v>
      </c>
      <c r="AN198" s="53">
        <v>0.3</v>
      </c>
      <c r="AO198" s="53">
        <v>0.31</v>
      </c>
      <c r="AP198" s="53">
        <v>0.31</v>
      </c>
      <c r="AQ198" s="53">
        <v>0.31</v>
      </c>
      <c r="AR198" s="53">
        <v>0.32</v>
      </c>
      <c r="AV198" s="53">
        <v>0.5</v>
      </c>
      <c r="AW198" s="53">
        <v>0.3</v>
      </c>
      <c r="AX198" s="53">
        <v>0.31</v>
      </c>
      <c r="AY198" s="53">
        <v>0.31</v>
      </c>
      <c r="AZ198" s="53">
        <v>0.31</v>
      </c>
      <c r="BA198" s="53">
        <v>0.32</v>
      </c>
      <c r="BE198" s="53">
        <v>0.5</v>
      </c>
      <c r="BF198" s="53">
        <v>0.3</v>
      </c>
      <c r="BG198" s="53">
        <v>0.31</v>
      </c>
      <c r="BH198" s="53">
        <v>0.31</v>
      </c>
      <c r="BI198" s="53">
        <v>0.31</v>
      </c>
      <c r="BJ198" s="53">
        <v>0.32</v>
      </c>
    </row>
    <row r="199" spans="1:62" x14ac:dyDescent="0.25">
      <c r="A199" s="78"/>
      <c r="I199" s="114"/>
      <c r="L199" s="53">
        <v>0.75</v>
      </c>
      <c r="M199" s="53">
        <v>0.35</v>
      </c>
      <c r="N199" s="53">
        <v>0.36</v>
      </c>
      <c r="O199" s="53">
        <v>0.37</v>
      </c>
      <c r="P199" s="53">
        <v>0.37</v>
      </c>
      <c r="Q199" s="53">
        <v>0.38</v>
      </c>
      <c r="U199" s="53">
        <v>0.75</v>
      </c>
      <c r="V199" s="53">
        <v>0.35</v>
      </c>
      <c r="W199" s="53">
        <v>0.36</v>
      </c>
      <c r="X199" s="53">
        <v>0.37</v>
      </c>
      <c r="Y199" s="53">
        <v>0.37</v>
      </c>
      <c r="Z199" s="53">
        <v>0.38</v>
      </c>
      <c r="AD199" s="53">
        <v>0.75</v>
      </c>
      <c r="AE199" s="53">
        <v>0.35</v>
      </c>
      <c r="AF199" s="53">
        <v>0.36</v>
      </c>
      <c r="AG199" s="53">
        <v>0.37</v>
      </c>
      <c r="AH199" s="53">
        <v>0.37</v>
      </c>
      <c r="AI199" s="53">
        <v>0.38</v>
      </c>
      <c r="AM199" s="53">
        <v>0.75</v>
      </c>
      <c r="AN199" s="53">
        <v>0.35</v>
      </c>
      <c r="AO199" s="53">
        <v>0.36</v>
      </c>
      <c r="AP199" s="53">
        <v>0.37</v>
      </c>
      <c r="AQ199" s="53">
        <v>0.37</v>
      </c>
      <c r="AR199" s="53">
        <v>0.38</v>
      </c>
      <c r="AV199" s="53">
        <v>0.75</v>
      </c>
      <c r="AW199" s="53">
        <v>0.35</v>
      </c>
      <c r="AX199" s="53">
        <v>0.36</v>
      </c>
      <c r="AY199" s="53">
        <v>0.37</v>
      </c>
      <c r="AZ199" s="53">
        <v>0.37</v>
      </c>
      <c r="BA199" s="53">
        <v>0.38</v>
      </c>
      <c r="BE199" s="53">
        <v>0.75</v>
      </c>
      <c r="BF199" s="53">
        <v>0.35</v>
      </c>
      <c r="BG199" s="53">
        <v>0.36</v>
      </c>
      <c r="BH199" s="53">
        <v>0.37</v>
      </c>
      <c r="BI199" s="53">
        <v>0.37</v>
      </c>
      <c r="BJ199" s="53">
        <v>0.38</v>
      </c>
    </row>
    <row r="200" spans="1:62" x14ac:dyDescent="0.25">
      <c r="A200" s="78"/>
      <c r="E200" s="18">
        <f>-D194*D78*H87*D63</f>
        <v>0</v>
      </c>
      <c r="H200" s="18">
        <f>-0.5*D194*D78*D63^2</f>
        <v>0</v>
      </c>
      <c r="I200" s="114"/>
      <c r="L200" s="53">
        <v>1</v>
      </c>
      <c r="M200" s="53">
        <v>0.39</v>
      </c>
      <c r="N200" s="53">
        <v>0.4</v>
      </c>
      <c r="O200" s="53">
        <v>0.41</v>
      </c>
      <c r="P200" s="53">
        <v>0.42</v>
      </c>
      <c r="Q200" s="53">
        <v>0.42</v>
      </c>
      <c r="U200" s="53">
        <v>1</v>
      </c>
      <c r="V200" s="53">
        <v>0.39</v>
      </c>
      <c r="W200" s="53">
        <v>0.4</v>
      </c>
      <c r="X200" s="53">
        <v>0.41</v>
      </c>
      <c r="Y200" s="53">
        <v>0.42</v>
      </c>
      <c r="Z200" s="53">
        <v>0.42</v>
      </c>
      <c r="AD200" s="53">
        <v>1</v>
      </c>
      <c r="AE200" s="53">
        <v>0.39</v>
      </c>
      <c r="AF200" s="53">
        <v>0.4</v>
      </c>
      <c r="AG200" s="53">
        <v>0.41</v>
      </c>
      <c r="AH200" s="53">
        <v>0.42</v>
      </c>
      <c r="AI200" s="53">
        <v>0.42</v>
      </c>
      <c r="AM200" s="53">
        <v>1</v>
      </c>
      <c r="AN200" s="53">
        <v>0.39</v>
      </c>
      <c r="AO200" s="53">
        <v>0.4</v>
      </c>
      <c r="AP200" s="53">
        <v>0.41</v>
      </c>
      <c r="AQ200" s="53">
        <v>0.42</v>
      </c>
      <c r="AR200" s="53">
        <v>0.42</v>
      </c>
      <c r="AV200" s="53">
        <v>1</v>
      </c>
      <c r="AW200" s="53">
        <v>0.39</v>
      </c>
      <c r="AX200" s="53">
        <v>0.4</v>
      </c>
      <c r="AY200" s="53">
        <v>0.41</v>
      </c>
      <c r="AZ200" s="53">
        <v>0.42</v>
      </c>
      <c r="BA200" s="53">
        <v>0.42</v>
      </c>
      <c r="BE200" s="53">
        <v>1</v>
      </c>
      <c r="BF200" s="53">
        <v>0.39</v>
      </c>
      <c r="BG200" s="53">
        <v>0.4</v>
      </c>
      <c r="BH200" s="53">
        <v>0.41</v>
      </c>
      <c r="BI200" s="53">
        <v>0.42</v>
      </c>
      <c r="BJ200" s="53">
        <v>0.42</v>
      </c>
    </row>
    <row r="201" spans="1:62" x14ac:dyDescent="0.25">
      <c r="A201" s="78"/>
      <c r="I201" s="114"/>
      <c r="L201" s="53">
        <v>1.25</v>
      </c>
      <c r="M201" s="53">
        <v>0.42</v>
      </c>
      <c r="N201" s="53">
        <v>0.44</v>
      </c>
      <c r="O201" s="53">
        <v>0.45</v>
      </c>
      <c r="P201" s="53">
        <v>0.45</v>
      </c>
      <c r="Q201" s="53">
        <v>0.46</v>
      </c>
      <c r="U201" s="53">
        <v>1.25</v>
      </c>
      <c r="V201" s="53">
        <v>0.42</v>
      </c>
      <c r="W201" s="53">
        <v>0.44</v>
      </c>
      <c r="X201" s="53">
        <v>0.45</v>
      </c>
      <c r="Y201" s="53">
        <v>0.45</v>
      </c>
      <c r="Z201" s="53">
        <v>0.46</v>
      </c>
      <c r="AD201" s="53">
        <v>1.25</v>
      </c>
      <c r="AE201" s="53">
        <v>0.42</v>
      </c>
      <c r="AF201" s="53">
        <v>0.44</v>
      </c>
      <c r="AG201" s="53">
        <v>0.45</v>
      </c>
      <c r="AH201" s="53">
        <v>0.45</v>
      </c>
      <c r="AI201" s="53">
        <v>0.46</v>
      </c>
      <c r="AM201" s="53">
        <v>1.25</v>
      </c>
      <c r="AN201" s="53">
        <v>0.42</v>
      </c>
      <c r="AO201" s="53">
        <v>0.44</v>
      </c>
      <c r="AP201" s="53">
        <v>0.45</v>
      </c>
      <c r="AQ201" s="53">
        <v>0.45</v>
      </c>
      <c r="AR201" s="53">
        <v>0.46</v>
      </c>
      <c r="AV201" s="53">
        <v>1.25</v>
      </c>
      <c r="AW201" s="53">
        <v>0.42</v>
      </c>
      <c r="AX201" s="53">
        <v>0.44</v>
      </c>
      <c r="AY201" s="53">
        <v>0.45</v>
      </c>
      <c r="AZ201" s="53">
        <v>0.45</v>
      </c>
      <c r="BA201" s="53">
        <v>0.46</v>
      </c>
      <c r="BE201" s="53">
        <v>1.25</v>
      </c>
      <c r="BF201" s="53">
        <v>0.42</v>
      </c>
      <c r="BG201" s="53">
        <v>0.44</v>
      </c>
      <c r="BH201" s="53">
        <v>0.45</v>
      </c>
      <c r="BI201" s="53">
        <v>0.45</v>
      </c>
      <c r="BJ201" s="53">
        <v>0.46</v>
      </c>
    </row>
    <row r="202" spans="1:62" x14ac:dyDescent="0.25">
      <c r="A202" s="78"/>
      <c r="I202" s="114"/>
      <c r="L202" s="53">
        <v>1.5</v>
      </c>
      <c r="M202" s="53">
        <v>0.45</v>
      </c>
      <c r="N202" s="53">
        <v>0.46</v>
      </c>
      <c r="O202" s="53">
        <v>0.48</v>
      </c>
      <c r="P202" s="53">
        <v>0.49</v>
      </c>
      <c r="Q202" s="53">
        <v>0.49</v>
      </c>
      <c r="U202" s="53">
        <v>1.5</v>
      </c>
      <c r="V202" s="53">
        <v>0.45</v>
      </c>
      <c r="W202" s="53">
        <v>0.46</v>
      </c>
      <c r="X202" s="53">
        <v>0.48</v>
      </c>
      <c r="Y202" s="53">
        <v>0.49</v>
      </c>
      <c r="Z202" s="53">
        <v>0.49</v>
      </c>
      <c r="AD202" s="53">
        <v>1.5</v>
      </c>
      <c r="AE202" s="53">
        <v>0.45</v>
      </c>
      <c r="AF202" s="53">
        <v>0.46</v>
      </c>
      <c r="AG202" s="53">
        <v>0.48</v>
      </c>
      <c r="AH202" s="53">
        <v>0.49</v>
      </c>
      <c r="AI202" s="53">
        <v>0.49</v>
      </c>
      <c r="AM202" s="53">
        <v>1.5</v>
      </c>
      <c r="AN202" s="53">
        <v>0.45</v>
      </c>
      <c r="AO202" s="53">
        <v>0.46</v>
      </c>
      <c r="AP202" s="53">
        <v>0.48</v>
      </c>
      <c r="AQ202" s="53">
        <v>0.49</v>
      </c>
      <c r="AR202" s="53">
        <v>0.49</v>
      </c>
      <c r="AV202" s="53">
        <v>1.5</v>
      </c>
      <c r="AW202" s="53">
        <v>0.45</v>
      </c>
      <c r="AX202" s="53">
        <v>0.46</v>
      </c>
      <c r="AY202" s="53">
        <v>0.48</v>
      </c>
      <c r="AZ202" s="53">
        <v>0.49</v>
      </c>
      <c r="BA202" s="53">
        <v>0.49</v>
      </c>
      <c r="BE202" s="53">
        <v>1.5</v>
      </c>
      <c r="BF202" s="53">
        <v>0.45</v>
      </c>
      <c r="BG202" s="53">
        <v>0.46</v>
      </c>
      <c r="BH202" s="53">
        <v>0.48</v>
      </c>
      <c r="BI202" s="53">
        <v>0.49</v>
      </c>
      <c r="BJ202" s="53">
        <v>0.49</v>
      </c>
    </row>
    <row r="203" spans="1:62" x14ac:dyDescent="0.25">
      <c r="A203" s="78"/>
      <c r="H203" s="18">
        <f>H200*(D63/2+D64)</f>
        <v>0</v>
      </c>
      <c r="I203" s="114"/>
      <c r="L203" s="53">
        <v>1.75</v>
      </c>
      <c r="M203" s="53">
        <v>0.47</v>
      </c>
      <c r="N203" s="53">
        <v>0.49</v>
      </c>
      <c r="O203" s="53">
        <v>0.5</v>
      </c>
      <c r="P203" s="53">
        <v>0.52</v>
      </c>
      <c r="Q203" s="53">
        <v>0.52</v>
      </c>
      <c r="U203" s="53">
        <v>1.75</v>
      </c>
      <c r="V203" s="53">
        <v>0.47</v>
      </c>
      <c r="W203" s="53">
        <v>0.49</v>
      </c>
      <c r="X203" s="53">
        <v>0.5</v>
      </c>
      <c r="Y203" s="53">
        <v>0.52</v>
      </c>
      <c r="Z203" s="53">
        <v>0.52</v>
      </c>
      <c r="AD203" s="53">
        <v>1.75</v>
      </c>
      <c r="AE203" s="53">
        <v>0.47</v>
      </c>
      <c r="AF203" s="53">
        <v>0.49</v>
      </c>
      <c r="AG203" s="53">
        <v>0.5</v>
      </c>
      <c r="AH203" s="53">
        <v>0.52</v>
      </c>
      <c r="AI203" s="53">
        <v>0.52</v>
      </c>
      <c r="AM203" s="53">
        <v>1.75</v>
      </c>
      <c r="AN203" s="53">
        <v>0.47</v>
      </c>
      <c r="AO203" s="53">
        <v>0.49</v>
      </c>
      <c r="AP203" s="53">
        <v>0.5</v>
      </c>
      <c r="AQ203" s="53">
        <v>0.52</v>
      </c>
      <c r="AR203" s="53">
        <v>0.52</v>
      </c>
      <c r="AV203" s="53">
        <v>1.75</v>
      </c>
      <c r="AW203" s="53">
        <v>0.47</v>
      </c>
      <c r="AX203" s="53">
        <v>0.49</v>
      </c>
      <c r="AY203" s="53">
        <v>0.5</v>
      </c>
      <c r="AZ203" s="53">
        <v>0.52</v>
      </c>
      <c r="BA203" s="53">
        <v>0.52</v>
      </c>
      <c r="BE203" s="53">
        <v>1.75</v>
      </c>
      <c r="BF203" s="53">
        <v>0.47</v>
      </c>
      <c r="BG203" s="53">
        <v>0.49</v>
      </c>
      <c r="BH203" s="53">
        <v>0.5</v>
      </c>
      <c r="BI203" s="53">
        <v>0.52</v>
      </c>
      <c r="BJ203" s="53">
        <v>0.52</v>
      </c>
    </row>
    <row r="204" spans="1:62" x14ac:dyDescent="0.25">
      <c r="A204" s="78"/>
      <c r="I204" s="114"/>
      <c r="L204" s="53">
        <v>2</v>
      </c>
      <c r="M204" s="53">
        <v>0.49</v>
      </c>
      <c r="N204" s="53">
        <v>0.51</v>
      </c>
      <c r="O204" s="53">
        <v>0.53</v>
      </c>
      <c r="P204" s="53">
        <v>0.54</v>
      </c>
      <c r="Q204" s="53">
        <v>0.55000000000000004</v>
      </c>
      <c r="U204" s="53">
        <v>2</v>
      </c>
      <c r="V204" s="53">
        <v>0.49</v>
      </c>
      <c r="W204" s="53">
        <v>0.51</v>
      </c>
      <c r="X204" s="53">
        <v>0.53</v>
      </c>
      <c r="Y204" s="53">
        <v>0.54</v>
      </c>
      <c r="Z204" s="53">
        <v>0.55000000000000004</v>
      </c>
      <c r="AD204" s="53">
        <v>2</v>
      </c>
      <c r="AE204" s="53">
        <v>0.49</v>
      </c>
      <c r="AF204" s="53">
        <v>0.51</v>
      </c>
      <c r="AG204" s="53">
        <v>0.53</v>
      </c>
      <c r="AH204" s="53">
        <v>0.54</v>
      </c>
      <c r="AI204" s="53">
        <v>0.55000000000000004</v>
      </c>
      <c r="AM204" s="53">
        <v>2</v>
      </c>
      <c r="AN204" s="53">
        <v>0.49</v>
      </c>
      <c r="AO204" s="53">
        <v>0.51</v>
      </c>
      <c r="AP204" s="53">
        <v>0.53</v>
      </c>
      <c r="AQ204" s="53">
        <v>0.54</v>
      </c>
      <c r="AR204" s="53">
        <v>0.55000000000000004</v>
      </c>
      <c r="AV204" s="53">
        <v>2</v>
      </c>
      <c r="AW204" s="53">
        <v>0.49</v>
      </c>
      <c r="AX204" s="53">
        <v>0.51</v>
      </c>
      <c r="AY204" s="53">
        <v>0.53</v>
      </c>
      <c r="AZ204" s="53">
        <v>0.54</v>
      </c>
      <c r="BA204" s="53">
        <v>0.55000000000000004</v>
      </c>
      <c r="BE204" s="53">
        <v>2</v>
      </c>
      <c r="BF204" s="53">
        <v>0.49</v>
      </c>
      <c r="BG204" s="53">
        <v>0.51</v>
      </c>
      <c r="BH204" s="53">
        <v>0.53</v>
      </c>
      <c r="BI204" s="53">
        <v>0.54</v>
      </c>
      <c r="BJ204" s="53">
        <v>0.55000000000000004</v>
      </c>
    </row>
    <row r="205" spans="1:62" x14ac:dyDescent="0.25">
      <c r="A205" s="78"/>
      <c r="I205" s="114"/>
      <c r="L205" s="53">
        <v>2.25</v>
      </c>
      <c r="M205" s="53">
        <v>0.51</v>
      </c>
      <c r="N205" s="53">
        <v>0.53</v>
      </c>
      <c r="O205" s="53">
        <v>0.55000000000000004</v>
      </c>
      <c r="P205" s="53">
        <v>0.56000000000000005</v>
      </c>
      <c r="Q205" s="53">
        <v>0.56999999999999995</v>
      </c>
      <c r="U205" s="53">
        <v>2.25</v>
      </c>
      <c r="V205" s="53">
        <v>0.51</v>
      </c>
      <c r="W205" s="53">
        <v>0.53</v>
      </c>
      <c r="X205" s="53">
        <v>0.55000000000000004</v>
      </c>
      <c r="Y205" s="53">
        <v>0.56000000000000005</v>
      </c>
      <c r="Z205" s="53">
        <v>0.56999999999999995</v>
      </c>
      <c r="AD205" s="53">
        <v>2.25</v>
      </c>
      <c r="AE205" s="53">
        <v>0.51</v>
      </c>
      <c r="AF205" s="53">
        <v>0.53</v>
      </c>
      <c r="AG205" s="53">
        <v>0.55000000000000004</v>
      </c>
      <c r="AH205" s="53">
        <v>0.56000000000000005</v>
      </c>
      <c r="AI205" s="53">
        <v>0.56999999999999995</v>
      </c>
      <c r="AM205" s="53">
        <v>2.25</v>
      </c>
      <c r="AN205" s="53">
        <v>0.51</v>
      </c>
      <c r="AO205" s="53">
        <v>0.53</v>
      </c>
      <c r="AP205" s="53">
        <v>0.55000000000000004</v>
      </c>
      <c r="AQ205" s="53">
        <v>0.56000000000000005</v>
      </c>
      <c r="AR205" s="53">
        <v>0.56999999999999995</v>
      </c>
      <c r="AV205" s="53">
        <v>2.25</v>
      </c>
      <c r="AW205" s="53">
        <v>0.51</v>
      </c>
      <c r="AX205" s="53">
        <v>0.53</v>
      </c>
      <c r="AY205" s="53">
        <v>0.55000000000000004</v>
      </c>
      <c r="AZ205" s="53">
        <v>0.56000000000000005</v>
      </c>
      <c r="BA205" s="53">
        <v>0.56999999999999995</v>
      </c>
      <c r="BE205" s="53">
        <v>2.25</v>
      </c>
      <c r="BF205" s="53">
        <v>0.51</v>
      </c>
      <c r="BG205" s="53">
        <v>0.53</v>
      </c>
      <c r="BH205" s="53">
        <v>0.55000000000000004</v>
      </c>
      <c r="BI205" s="53">
        <v>0.56000000000000005</v>
      </c>
      <c r="BJ205" s="53">
        <v>0.56999999999999995</v>
      </c>
    </row>
    <row r="206" spans="1:62" x14ac:dyDescent="0.25">
      <c r="A206" s="98"/>
      <c r="B206" s="111"/>
      <c r="C206" s="111"/>
      <c r="D206" s="111"/>
      <c r="E206" s="218">
        <f>E200*(D63/2+D64)</f>
        <v>0</v>
      </c>
      <c r="F206" s="111"/>
      <c r="G206" s="111"/>
      <c r="H206" s="111"/>
      <c r="I206" s="116"/>
      <c r="L206" s="53">
        <v>2.5</v>
      </c>
      <c r="M206" s="53">
        <v>0.51</v>
      </c>
      <c r="N206" s="53">
        <v>0.55000000000000004</v>
      </c>
      <c r="O206" s="53">
        <v>0.56999999999999995</v>
      </c>
      <c r="P206" s="53">
        <v>0.57999999999999996</v>
      </c>
      <c r="Q206" s="53">
        <v>0.6</v>
      </c>
      <c r="U206" s="53">
        <v>2.5</v>
      </c>
      <c r="V206" s="53">
        <v>0.51</v>
      </c>
      <c r="W206" s="53">
        <v>0.55000000000000004</v>
      </c>
      <c r="X206" s="53">
        <v>0.56999999999999995</v>
      </c>
      <c r="Y206" s="53">
        <v>0.57999999999999996</v>
      </c>
      <c r="Z206" s="53">
        <v>0.6</v>
      </c>
      <c r="AD206" s="53">
        <v>2.5</v>
      </c>
      <c r="AE206" s="53">
        <v>0.51</v>
      </c>
      <c r="AF206" s="53">
        <v>0.55000000000000004</v>
      </c>
      <c r="AG206" s="53">
        <v>0.56999999999999995</v>
      </c>
      <c r="AH206" s="53">
        <v>0.57999999999999996</v>
      </c>
      <c r="AI206" s="53">
        <v>0.6</v>
      </c>
      <c r="AM206" s="53">
        <v>2.5</v>
      </c>
      <c r="AN206" s="53">
        <v>0.51</v>
      </c>
      <c r="AO206" s="53">
        <v>0.55000000000000004</v>
      </c>
      <c r="AP206" s="53">
        <v>0.56999999999999995</v>
      </c>
      <c r="AQ206" s="53">
        <v>0.57999999999999996</v>
      </c>
      <c r="AR206" s="53">
        <v>0.6</v>
      </c>
      <c r="AV206" s="53">
        <v>2.5</v>
      </c>
      <c r="AW206" s="53">
        <v>0.51</v>
      </c>
      <c r="AX206" s="53">
        <v>0.55000000000000004</v>
      </c>
      <c r="AY206" s="53">
        <v>0.56999999999999995</v>
      </c>
      <c r="AZ206" s="53">
        <v>0.57999999999999996</v>
      </c>
      <c r="BA206" s="53">
        <v>0.6</v>
      </c>
      <c r="BE206" s="53">
        <v>2.5</v>
      </c>
      <c r="BF206" s="53">
        <v>0.51</v>
      </c>
      <c r="BG206" s="53">
        <v>0.55000000000000004</v>
      </c>
      <c r="BH206" s="53">
        <v>0.56999999999999995</v>
      </c>
      <c r="BI206" s="53">
        <v>0.57999999999999996</v>
      </c>
      <c r="BJ206" s="53">
        <v>0.6</v>
      </c>
    </row>
    <row r="207" spans="1:62" x14ac:dyDescent="0.25">
      <c r="A207" s="1" t="s">
        <v>155</v>
      </c>
      <c r="L207" s="70">
        <v>2.75</v>
      </c>
      <c r="M207" s="70">
        <v>0.51</v>
      </c>
      <c r="N207" s="70">
        <v>0.56000000000000005</v>
      </c>
      <c r="O207" s="70">
        <v>0.57999999999999996</v>
      </c>
      <c r="P207" s="70">
        <v>0.6</v>
      </c>
      <c r="Q207" s="70">
        <v>0.62</v>
      </c>
      <c r="U207" s="70">
        <v>2.75</v>
      </c>
      <c r="V207" s="70">
        <v>0.51</v>
      </c>
      <c r="W207" s="70">
        <v>0.56000000000000005</v>
      </c>
      <c r="X207" s="70">
        <v>0.57999999999999996</v>
      </c>
      <c r="Y207" s="70">
        <v>0.6</v>
      </c>
      <c r="Z207" s="70">
        <v>0.62</v>
      </c>
      <c r="AD207" s="70">
        <v>2.75</v>
      </c>
      <c r="AE207" s="70">
        <v>0.51</v>
      </c>
      <c r="AF207" s="70">
        <v>0.56000000000000005</v>
      </c>
      <c r="AG207" s="70">
        <v>0.57999999999999996</v>
      </c>
      <c r="AH207" s="70">
        <v>0.6</v>
      </c>
      <c r="AI207" s="70">
        <v>0.62</v>
      </c>
      <c r="AM207" s="70">
        <v>2.75</v>
      </c>
      <c r="AN207" s="70">
        <v>0.51</v>
      </c>
      <c r="AO207" s="70">
        <v>0.56000000000000005</v>
      </c>
      <c r="AP207" s="70">
        <v>0.57999999999999996</v>
      </c>
      <c r="AQ207" s="70">
        <v>0.6</v>
      </c>
      <c r="AR207" s="70">
        <v>0.62</v>
      </c>
      <c r="AV207" s="70">
        <v>2.75</v>
      </c>
      <c r="AW207" s="70">
        <v>0.51</v>
      </c>
      <c r="AX207" s="70">
        <v>0.56000000000000005</v>
      </c>
      <c r="AY207" s="70">
        <v>0.57999999999999996</v>
      </c>
      <c r="AZ207" s="70">
        <v>0.6</v>
      </c>
      <c r="BA207" s="70">
        <v>0.62</v>
      </c>
      <c r="BE207" s="70">
        <v>2.75</v>
      </c>
      <c r="BF207" s="70">
        <v>0.51</v>
      </c>
      <c r="BG207" s="70">
        <v>0.56000000000000005</v>
      </c>
      <c r="BH207" s="70">
        <v>0.57999999999999996</v>
      </c>
      <c r="BI207" s="70">
        <v>0.6</v>
      </c>
      <c r="BJ207" s="70">
        <v>0.62</v>
      </c>
    </row>
    <row r="208" spans="1:62" x14ac:dyDescent="0.25">
      <c r="L208" s="54"/>
      <c r="M208" s="54"/>
      <c r="N208" s="54"/>
      <c r="O208" s="54"/>
      <c r="P208" s="54"/>
      <c r="Q208" s="54"/>
      <c r="U208" s="54"/>
      <c r="V208" s="54"/>
      <c r="W208" s="54"/>
      <c r="X208" s="54"/>
      <c r="Y208" s="54"/>
      <c r="Z208" s="54"/>
      <c r="AD208" s="54"/>
      <c r="AE208" s="54"/>
      <c r="AF208" s="54"/>
      <c r="AG208" s="54"/>
      <c r="AH208" s="54"/>
      <c r="AI208" s="54"/>
      <c r="AM208" s="54"/>
      <c r="AN208" s="54"/>
      <c r="AO208" s="54"/>
      <c r="AP208" s="54"/>
      <c r="AQ208" s="54"/>
      <c r="AR208" s="54"/>
      <c r="AV208" s="54"/>
      <c r="AW208" s="54"/>
      <c r="AX208" s="54"/>
      <c r="AY208" s="54"/>
      <c r="AZ208" s="54"/>
      <c r="BA208" s="54"/>
      <c r="BE208" s="54"/>
      <c r="BF208" s="54"/>
      <c r="BG208" s="54"/>
      <c r="BH208" s="54"/>
      <c r="BI208" s="54"/>
      <c r="BJ208" s="54"/>
    </row>
    <row r="209" spans="1:63" x14ac:dyDescent="0.25">
      <c r="L209" s="54"/>
      <c r="M209" s="54"/>
      <c r="N209" s="54"/>
      <c r="O209" s="54"/>
      <c r="P209" s="54"/>
      <c r="Q209" s="54"/>
      <c r="U209" s="54"/>
      <c r="V209" s="54"/>
      <c r="W209" s="54"/>
      <c r="X209" s="54"/>
      <c r="Y209" s="54"/>
      <c r="Z209" s="54"/>
      <c r="AD209" s="54"/>
      <c r="AE209" s="54"/>
      <c r="AF209" s="54"/>
      <c r="AG209" s="54"/>
      <c r="AH209" s="54"/>
      <c r="AI209" s="54"/>
      <c r="AM209" s="54"/>
      <c r="AN209" s="54"/>
      <c r="AO209" s="54"/>
      <c r="AP209" s="54"/>
      <c r="AQ209" s="54"/>
      <c r="AR209" s="54"/>
      <c r="AV209" s="54"/>
      <c r="AW209" s="54"/>
      <c r="AX209" s="54"/>
      <c r="AY209" s="54"/>
      <c r="AZ209" s="54"/>
      <c r="BA209" s="54"/>
      <c r="BE209" s="54"/>
      <c r="BF209" s="54"/>
      <c r="BG209" s="54"/>
      <c r="BH209" s="54"/>
      <c r="BI209" s="54"/>
      <c r="BJ209" s="54"/>
    </row>
    <row r="210" spans="1:63" x14ac:dyDescent="0.25">
      <c r="K210" s="55"/>
      <c r="L210" s="56" t="s">
        <v>173</v>
      </c>
      <c r="M210" s="237" t="s">
        <v>174</v>
      </c>
      <c r="N210" s="57"/>
      <c r="O210" s="57"/>
      <c r="P210" s="57"/>
      <c r="Q210" s="36"/>
      <c r="R210" s="58" t="s">
        <v>175</v>
      </c>
      <c r="T210" s="55"/>
      <c r="U210" s="56" t="s">
        <v>173</v>
      </c>
      <c r="V210" s="57" t="s">
        <v>174</v>
      </c>
      <c r="W210" s="57"/>
      <c r="X210" s="57"/>
      <c r="Y210" s="57"/>
      <c r="Z210" s="36"/>
      <c r="AA210" s="58" t="s">
        <v>175</v>
      </c>
      <c r="AC210" s="55"/>
      <c r="AD210" s="56" t="s">
        <v>173</v>
      </c>
      <c r="AE210" s="57" t="s">
        <v>174</v>
      </c>
      <c r="AF210" s="57"/>
      <c r="AG210" s="57"/>
      <c r="AH210" s="57"/>
      <c r="AI210" s="36"/>
      <c r="AJ210" s="58" t="s">
        <v>175</v>
      </c>
      <c r="AL210" s="55"/>
      <c r="AM210" s="56" t="s">
        <v>173</v>
      </c>
      <c r="AN210" s="57" t="s">
        <v>174</v>
      </c>
      <c r="AO210" s="57"/>
      <c r="AP210" s="57"/>
      <c r="AQ210" s="57"/>
      <c r="AR210" s="36"/>
      <c r="AS210" s="58" t="s">
        <v>175</v>
      </c>
      <c r="AU210" s="55"/>
      <c r="AV210" s="56" t="s">
        <v>173</v>
      </c>
      <c r="AW210" s="57" t="s">
        <v>174</v>
      </c>
      <c r="AX210" s="57"/>
      <c r="AY210" s="57"/>
      <c r="AZ210" s="57"/>
      <c r="BA210" s="36"/>
      <c r="BB210" s="58" t="s">
        <v>175</v>
      </c>
      <c r="BD210" s="55"/>
      <c r="BE210" s="56" t="s">
        <v>173</v>
      </c>
      <c r="BF210" s="57" t="s">
        <v>174</v>
      </c>
      <c r="BG210" s="57"/>
      <c r="BH210" s="57"/>
      <c r="BI210" s="57"/>
      <c r="BJ210" s="36"/>
      <c r="BK210" s="58" t="s">
        <v>175</v>
      </c>
    </row>
    <row r="211" spans="1:63" x14ac:dyDescent="0.25">
      <c r="A211" s="97"/>
      <c r="B211" s="99"/>
      <c r="C211" s="99"/>
      <c r="D211" s="99"/>
      <c r="E211" s="99"/>
      <c r="F211" s="99"/>
      <c r="G211" s="99"/>
      <c r="H211" s="99"/>
      <c r="I211" s="48"/>
      <c r="K211" s="82" t="s">
        <v>168</v>
      </c>
      <c r="L211" s="58">
        <f>VLOOKUP(L224,L196:L207,1)</f>
        <v>0.15</v>
      </c>
      <c r="M211" s="59">
        <f>IF(L211=L196,M196,IF(L211=L197,M197,IF(L211=L198,M198,N211)))</f>
        <v>0.18</v>
      </c>
      <c r="N211" s="59" t="e">
        <f>IF(L211=L199,M199,IF(L211=L200,M200,IF(L211=L201,M201,O211)))</f>
        <v>#REF!</v>
      </c>
      <c r="O211" s="59" t="e">
        <f>IF(L211=L202,M202,IF(L211=L203,M203,IF(L211=L204,M204,P211)))</f>
        <v>#REF!</v>
      </c>
      <c r="P211" s="59" t="e">
        <f>IF(L211=L205,M205,IF(L211=L206,M206,IF(L211=L207,M207,Q211)))</f>
        <v>#REF!</v>
      </c>
      <c r="Q211" s="60" t="e">
        <f>IF(L211=#REF!,#REF!,"Exceed")</f>
        <v>#REF!</v>
      </c>
      <c r="R211" s="84">
        <f>(M212-M211)*(L224-L211)/(L212-L211)+M211</f>
        <v>0.21031417398304178</v>
      </c>
      <c r="T211" s="82" t="s">
        <v>168</v>
      </c>
      <c r="U211" s="58">
        <f>VLOOKUP(U224,U196:U207,1)</f>
        <v>1</v>
      </c>
      <c r="V211" s="59">
        <f>IF(U211=U196,V196,IF(U211=U197,V197,IF(U211=U198,V198,W211)))</f>
        <v>0.39</v>
      </c>
      <c r="W211" s="59">
        <f>IF(U211=U199,V199,IF(U211=U200,V200,IF(U211=U201,V201,X211)))</f>
        <v>0.39</v>
      </c>
      <c r="X211" s="59" t="e">
        <f>IF(U211=U202,V202,IF(U211=U203,V203,IF(U211=U204,V204,Y211)))</f>
        <v>#REF!</v>
      </c>
      <c r="Y211" s="59" t="e">
        <f>IF(U211=U205,V205,IF(U211=U206,V206,IF(U211=U207,V207,Z211)))</f>
        <v>#REF!</v>
      </c>
      <c r="Z211" s="60" t="e">
        <f>IF(U211=#REF!,#REF!,"Exceed")</f>
        <v>#REF!</v>
      </c>
      <c r="AA211" s="84">
        <f>(V212-V211)*(U224-U211)/(U212-U211)+V211</f>
        <v>0.39449655097817138</v>
      </c>
      <c r="AC211" s="82" t="s">
        <v>168</v>
      </c>
      <c r="AD211" s="58">
        <f>VLOOKUP(AD224,AD196:AD207,1)</f>
        <v>0.5</v>
      </c>
      <c r="AE211" s="59">
        <f>IF(AD211=AD196,AE196,IF(AD211=AD197,AE197,IF(AD211=AD198,AE198,AF211)))</f>
        <v>0.3</v>
      </c>
      <c r="AF211" s="59" t="e">
        <f>IF(AD211=AD199,AE199,IF(AD211=AD200,AE200,IF(AD211=AD201,AE201,AG211)))</f>
        <v>#REF!</v>
      </c>
      <c r="AG211" s="59" t="e">
        <f>IF(AD211=AD202,AE202,IF(AD211=AD203,AE203,IF(AD211=AD204,AE204,AH211)))</f>
        <v>#REF!</v>
      </c>
      <c r="AH211" s="59" t="e">
        <f>IF(AD211=AD205,AE205,IF(AD211=AD206,AE206,IF(AD211=AD207,AE207,AI211)))</f>
        <v>#REF!</v>
      </c>
      <c r="AI211" s="60" t="e">
        <f>IF(AD211=#REF!,#REF!,"Exceed")</f>
        <v>#REF!</v>
      </c>
      <c r="AJ211" s="84">
        <f>(AE212-AE211)*(AD224-AD211)/(AD212-AD211)+AE211</f>
        <v>0.34867778888075923</v>
      </c>
      <c r="AL211" s="82" t="s">
        <v>168</v>
      </c>
      <c r="AM211" s="58">
        <f>VLOOKUP(AM224,AM196:AM207,1)</f>
        <v>0.75</v>
      </c>
      <c r="AN211" s="59">
        <f>IF(AM211=AM196,AN196,IF(AM211=AM197,AN197,IF(AM211=AM198,AN198,AO211)))</f>
        <v>0.35</v>
      </c>
      <c r="AO211" s="59">
        <f>IF(AM211=AM199,AN199,IF(AM211=AM200,AN200,IF(AM211=AM201,AN201,AP211)))</f>
        <v>0.35</v>
      </c>
      <c r="AP211" s="59" t="e">
        <f>IF(AM211=AM202,AN202,IF(AM211=AM203,AN203,IF(AM211=AM204,AN204,AQ211)))</f>
        <v>#REF!</v>
      </c>
      <c r="AQ211" s="59" t="e">
        <f>IF(AM211=AM205,AN205,IF(AM211=AM206,AN206,IF(AM211=AM207,AN207,AR211)))</f>
        <v>#REF!</v>
      </c>
      <c r="AR211" s="60" t="e">
        <f>IF(AM211=#REF!,#REF!,"Exceed")</f>
        <v>#REF!</v>
      </c>
      <c r="AS211" s="84">
        <f>(AN212-AN211)*(AM224-AM211)/(AM212-AM211)+AN211</f>
        <v>0.35791324162393989</v>
      </c>
      <c r="AU211" s="82" t="s">
        <v>168</v>
      </c>
      <c r="AV211" s="58">
        <f>VLOOKUP(AV224,AV196:AV207,1)</f>
        <v>1</v>
      </c>
      <c r="AW211" s="59">
        <f>IF(AV211=AV196,AW196,IF(AV211=AV197,AW197,IF(AV211=AV198,AW198,AX211)))</f>
        <v>0.39</v>
      </c>
      <c r="AX211" s="59">
        <f>IF(AV211=AV199,AW199,IF(AV211=AV200,AW200,IF(AV211=AV201,AW201,AY211)))</f>
        <v>0.39</v>
      </c>
      <c r="AY211" s="59" t="e">
        <f>IF(AV211=AV202,AW202,IF(AV211=AV203,AW203,IF(AV211=AV204,AW204,AZ211)))</f>
        <v>#REF!</v>
      </c>
      <c r="AZ211" s="59" t="e">
        <f>IF(AV211=AV205,AW205,IF(AV211=AV206,AW206,IF(AV211=AV207,AW207,BA211)))</f>
        <v>#REF!</v>
      </c>
      <c r="BA211" s="60" t="e">
        <f>IF(AV211=#REF!,#REF!,"Exceed")</f>
        <v>#REF!</v>
      </c>
      <c r="BB211" s="84">
        <f>(AW212-AW211)*(AV224-AV211)/(AV212-AV211)+AW211</f>
        <v>0.39090488968556775</v>
      </c>
      <c r="BD211" s="82" t="s">
        <v>168</v>
      </c>
      <c r="BE211" s="58">
        <f>VLOOKUP(BE224,BE196:BE207,1)</f>
        <v>0.75</v>
      </c>
      <c r="BF211" s="59">
        <f>IF(BE211=BE196,BF196,IF(BE211=BE197,BF197,IF(BE211=BE198,BF198,BG211)))</f>
        <v>0.35</v>
      </c>
      <c r="BG211" s="59">
        <f>IF(BE211=BE199,BF199,IF(BE211=BE200,BF200,IF(BE211=BE201,BF201,BH211)))</f>
        <v>0.35</v>
      </c>
      <c r="BH211" s="59" t="e">
        <f>IF(BE211=BE202,BF202,IF(BE211=BE203,BF203,IF(BE211=BE204,BF204,BI211)))</f>
        <v>#REF!</v>
      </c>
      <c r="BI211" s="59" t="e">
        <f>IF(BE211=BE205,BF205,IF(BE211=BE206,BF206,IF(BE211=BE207,BF207,BJ211)))</f>
        <v>#REF!</v>
      </c>
      <c r="BJ211" s="60" t="e">
        <f>IF(BE211=#REF!,#REF!,"Exceed")</f>
        <v>#REF!</v>
      </c>
      <c r="BK211" s="84">
        <f>(BF212-BF211)*(BE224-BE211)/(BE212-BE211)+BF211</f>
        <v>0.3583569446424571</v>
      </c>
    </row>
    <row r="212" spans="1:63" x14ac:dyDescent="0.25">
      <c r="A212" s="173" t="s">
        <v>85</v>
      </c>
      <c r="I212" s="114"/>
      <c r="K212" s="83"/>
      <c r="L212" s="61">
        <f>IF(VLOOKUP(L224,L196:L207,1)=L196,L197,VLOOKUP(L224,L196:L207,1)+0.25)</f>
        <v>0.25</v>
      </c>
      <c r="M212" s="62">
        <f>IF(L212=L196,M196,IF(L212=L197,M197,IF(L212=L198,M198,N212)))</f>
        <v>0.22</v>
      </c>
      <c r="N212" s="62" t="e">
        <f>IF(L212=L199,M199,IF(L212=L200,M200,IF(L212=L201,M201,O212)))</f>
        <v>#REF!</v>
      </c>
      <c r="O212" s="62" t="e">
        <f>IF(L212=L202,M202,IF(L212=L203,M203,IF(L212=L204,M204,P212)))</f>
        <v>#REF!</v>
      </c>
      <c r="P212" s="62" t="e">
        <f>IF(L212=L205,M205,IF(L212=L206,M206,IF(L212=L207,M207,Q212)))</f>
        <v>#REF!</v>
      </c>
      <c r="Q212" s="63" t="e">
        <f>IF(L212=#REF!,#REF!,"Exceed")</f>
        <v>#REF!</v>
      </c>
      <c r="R212" s="84"/>
      <c r="T212" s="83"/>
      <c r="U212" s="61">
        <f>IF(VLOOKUP(U224,U196:U207,1)=U196,U197,VLOOKUP(U224,U196:U207,1)+0.25)</f>
        <v>1.25</v>
      </c>
      <c r="V212" s="62">
        <f>IF(U212=U196,V196,IF(U212=U197,V197,IF(U212=U198,V198,W212)))</f>
        <v>0.42</v>
      </c>
      <c r="W212" s="62">
        <f>IF(U212=U199,V199,IF(U212=U200,V200,IF(U212=U201,V201,X212)))</f>
        <v>0.42</v>
      </c>
      <c r="X212" s="62" t="e">
        <f>IF(U212=U202,V202,IF(U212=U203,V203,IF(U212=U204,V204,Y212)))</f>
        <v>#REF!</v>
      </c>
      <c r="Y212" s="62" t="e">
        <f>IF(U212=U205,V205,IF(U212=U206,V206,IF(U212=U207,V207,Z212)))</f>
        <v>#REF!</v>
      </c>
      <c r="Z212" s="63" t="e">
        <f>IF(U212=#REF!,#REF!,"Exceed")</f>
        <v>#REF!</v>
      </c>
      <c r="AA212" s="84"/>
      <c r="AC212" s="83"/>
      <c r="AD212" s="61">
        <f>IF(VLOOKUP(AD224,AD196:AD207,1)=AD196,AD197,VLOOKUP(AD224,AD196:AD207,1)+0.25)</f>
        <v>0.75</v>
      </c>
      <c r="AE212" s="62">
        <f>IF(AD212=AD196,AE196,IF(AD212=AD197,AE197,IF(AD212=AD198,AE198,AF212)))</f>
        <v>0.35</v>
      </c>
      <c r="AF212" s="62">
        <f>IF(AD212=AD199,AE199,IF(AD212=AD200,AE200,IF(AD212=AD201,AE201,AG212)))</f>
        <v>0.35</v>
      </c>
      <c r="AG212" s="62" t="e">
        <f>IF(AD212=AD202,AE202,IF(AD212=AD203,AE203,IF(AD212=AD204,AE204,AH212)))</f>
        <v>#REF!</v>
      </c>
      <c r="AH212" s="62" t="e">
        <f>IF(AD212=AD205,AE205,IF(AD212=AD206,AE206,IF(AD212=AD207,AE207,AI212)))</f>
        <v>#REF!</v>
      </c>
      <c r="AI212" s="63" t="e">
        <f>IF(AD212=#REF!,#REF!,"Exceed")</f>
        <v>#REF!</v>
      </c>
      <c r="AJ212" s="84"/>
      <c r="AL212" s="83"/>
      <c r="AM212" s="61">
        <f>IF(VLOOKUP(AM224,AM196:AM207,1)=AM196,AM197,VLOOKUP(AM224,AM196:AM207,1)+0.25)</f>
        <v>1</v>
      </c>
      <c r="AN212" s="62">
        <f>IF(AM212=AM196,AN196,IF(AM212=AM197,AN197,IF(AM212=AM198,AN198,AO212)))</f>
        <v>0.39</v>
      </c>
      <c r="AO212" s="62">
        <f>IF(AM212=AM199,AN199,IF(AM212=AM200,AN200,IF(AM212=AM201,AN201,AP212)))</f>
        <v>0.39</v>
      </c>
      <c r="AP212" s="62" t="e">
        <f>IF(AM212=AM202,AN202,IF(AM212=AM203,AN203,IF(AM212=AM204,AN204,AQ212)))</f>
        <v>#REF!</v>
      </c>
      <c r="AQ212" s="62" t="e">
        <f>IF(AM212=AM205,AN205,IF(AM212=AM206,AN206,IF(AM212=AM207,AN207,AR212)))</f>
        <v>#REF!</v>
      </c>
      <c r="AR212" s="63" t="e">
        <f>IF(AM212=#REF!,#REF!,"Exceed")</f>
        <v>#REF!</v>
      </c>
      <c r="AS212" s="84"/>
      <c r="AU212" s="83"/>
      <c r="AV212" s="61">
        <f>IF(VLOOKUP(AV224,AV196:AV207,1)=AV196,AV197,VLOOKUP(AV224,AV196:AV207,1)+0.25)</f>
        <v>1.25</v>
      </c>
      <c r="AW212" s="62">
        <f>IF(AV212=AV196,AW196,IF(AV212=AV197,AW197,IF(AV212=AV198,AW198,AX212)))</f>
        <v>0.42</v>
      </c>
      <c r="AX212" s="62">
        <f>IF(AV212=AV199,AW199,IF(AV212=AV200,AW200,IF(AV212=AV201,AW201,AY212)))</f>
        <v>0.42</v>
      </c>
      <c r="AY212" s="62" t="e">
        <f>IF(AV212=AV202,AW202,IF(AV212=AV203,AW203,IF(AV212=AV204,AW204,AZ212)))</f>
        <v>#REF!</v>
      </c>
      <c r="AZ212" s="62" t="e">
        <f>IF(AV212=AV205,AW205,IF(AV212=AV206,AW206,IF(AV212=AV207,AW207,BA212)))</f>
        <v>#REF!</v>
      </c>
      <c r="BA212" s="63" t="e">
        <f>IF(AV212=#REF!,#REF!,"Exceed")</f>
        <v>#REF!</v>
      </c>
      <c r="BB212" s="84"/>
      <c r="BD212" s="83"/>
      <c r="BE212" s="61">
        <f>IF(VLOOKUP(BE224,BE196:BE207,1)=BE196,BE197,VLOOKUP(BE224,BE196:BE207,1)+0.25)</f>
        <v>1</v>
      </c>
      <c r="BF212" s="62">
        <f>IF(BE212=BE196,BF196,IF(BE212=BE197,BF197,IF(BE212=BE198,BF198,BG212)))</f>
        <v>0.39</v>
      </c>
      <c r="BG212" s="62">
        <f>IF(BE212=BE199,BF199,IF(BE212=BE200,BF200,IF(BE212=BE201,BF201,BH212)))</f>
        <v>0.39</v>
      </c>
      <c r="BH212" s="62" t="e">
        <f>IF(BE212=BE202,BF202,IF(BE212=BE203,BF203,IF(BE212=BE204,BF204,BI212)))</f>
        <v>#REF!</v>
      </c>
      <c r="BI212" s="62" t="e">
        <f>IF(BE212=BE205,BF205,IF(BE212=BE206,BF206,IF(BE212=BE207,BF207,BJ212)))</f>
        <v>#REF!</v>
      </c>
      <c r="BJ212" s="63" t="e">
        <f>IF(BE212=#REF!,#REF!,"Exceed")</f>
        <v>#REF!</v>
      </c>
      <c r="BK212" s="84"/>
    </row>
    <row r="213" spans="1:63" ht="18.75" x14ac:dyDescent="0.3">
      <c r="A213" s="78"/>
      <c r="F213" s="22" t="s">
        <v>89</v>
      </c>
      <c r="G213" s="5">
        <f>B139</f>
        <v>865.24500000000012</v>
      </c>
      <c r="H213" t="s">
        <v>84</v>
      </c>
      <c r="I213" s="114"/>
      <c r="K213" s="82" t="s">
        <v>169</v>
      </c>
      <c r="L213" s="58">
        <f>VLOOKUP(L224,L196:L207,1)</f>
        <v>0.15</v>
      </c>
      <c r="M213" s="59">
        <f>IF(L213=L196,N196,IF(L213=L197,N197,IF(L213=L198,N198,N213)))</f>
        <v>0.19</v>
      </c>
      <c r="N213" s="59" t="e">
        <f>IF(L213=L199,N199,IF(L213=L200,N200,IF(L213=L201,N201,O213)))</f>
        <v>#REF!</v>
      </c>
      <c r="O213" s="59" t="e">
        <f>IF(L213=L202,N202,IF(L213=L203,N203,IF(L213=L204,N204,P213)))</f>
        <v>#REF!</v>
      </c>
      <c r="P213" s="59" t="e">
        <f>IF(L213=L205,N205,IF(L213=L206,N206,IF(L213=L207,N207,Q213)))</f>
        <v>#REF!</v>
      </c>
      <c r="Q213" s="60" t="e">
        <f>IF(L213=#REF!,#REF!,"Exceed")</f>
        <v>#REF!</v>
      </c>
      <c r="R213" s="84">
        <f>(M214-M213)*(L224-L213)/(L214-L213)+M213</f>
        <v>0.22031417398304179</v>
      </c>
      <c r="T213" s="82" t="s">
        <v>169</v>
      </c>
      <c r="U213" s="58">
        <f>VLOOKUP(U224,U196:U207,1)</f>
        <v>1</v>
      </c>
      <c r="V213" s="59">
        <f>IF(U213=U196,W196,IF(U213=U197,W197,IF(U213=U198,W198,W213)))</f>
        <v>0.4</v>
      </c>
      <c r="W213" s="59">
        <f>IF(U213=U199,W199,IF(U213=U200,W200,IF(U213=U201,W201,X213)))</f>
        <v>0.4</v>
      </c>
      <c r="X213" s="59" t="e">
        <f>IF(U213=U202,W202,IF(U213=U203,W203,IF(U213=U204,W204,Y213)))</f>
        <v>#REF!</v>
      </c>
      <c r="Y213" s="59" t="e">
        <f>IF(U213=U205,W205,IF(U213=U206,W206,IF(U213=U207,W207,Z213)))</f>
        <v>#REF!</v>
      </c>
      <c r="Z213" s="60" t="e">
        <f>IF(U213=#REF!,#REF!,"Exceed")</f>
        <v>#REF!</v>
      </c>
      <c r="AA213" s="84">
        <f>(V214-V213)*(U224-U213)/(U214-U213)+V213</f>
        <v>0.40599540130422851</v>
      </c>
      <c r="AC213" s="82" t="s">
        <v>169</v>
      </c>
      <c r="AD213" s="58">
        <f>VLOOKUP(AD224,AD196:AD207,1)</f>
        <v>0.5</v>
      </c>
      <c r="AE213" s="59">
        <f>IF(AD213=AD196,AF196,IF(AD213=AD197,AF197,IF(AD213=AD198,AF198,AF213)))</f>
        <v>0.31</v>
      </c>
      <c r="AF213" s="59" t="e">
        <f>IF(AD213=AD199,AF199,IF(AD213=AD200,AF200,IF(AD213=AD201,AF201,AG213)))</f>
        <v>#REF!</v>
      </c>
      <c r="AG213" s="59" t="e">
        <f>IF(AD213=AD202,AF202,IF(AD213=AD203,AF203,IF(AD213=AD204,AF204,AH213)))</f>
        <v>#REF!</v>
      </c>
      <c r="AH213" s="59" t="e">
        <f>IF(AD213=AD205,AF205,IF(AD213=AD206,AF206,IF(AD213=AD207,AF207,AI213)))</f>
        <v>#REF!</v>
      </c>
      <c r="AI213" s="60" t="e">
        <f>IF(AD213=#REF!,#REF!,"Exceed")</f>
        <v>#REF!</v>
      </c>
      <c r="AJ213" s="84">
        <f>(AE214-AE213)*(AD224-AD213)/(AD214-AD213)+AE213</f>
        <v>0.35867778888075924</v>
      </c>
      <c r="AL213" s="82" t="s">
        <v>169</v>
      </c>
      <c r="AM213" s="58">
        <f>VLOOKUP(AM224,AM196:AM207,1)</f>
        <v>0.75</v>
      </c>
      <c r="AN213" s="59">
        <f>IF(AM213=AM196,AO196,IF(AM213=AM197,AO197,IF(AM213=AM198,AO198,AO213)))</f>
        <v>0.36</v>
      </c>
      <c r="AO213" s="59">
        <f>IF(AM213=AM199,AO199,IF(AM213=AM200,AO200,IF(AM213=AM201,AO201,AP213)))</f>
        <v>0.36</v>
      </c>
      <c r="AP213" s="59" t="e">
        <f>IF(AM213=AM202,AO202,IF(AM213=AM203,AO203,IF(AM213=AM204,AO204,AQ213)))</f>
        <v>#REF!</v>
      </c>
      <c r="AQ213" s="59" t="e">
        <f>IF(AM213=AM205,AO205,IF(AM213=AM206,AO206,IF(AM213=AM207,AO207,AR213)))</f>
        <v>#REF!</v>
      </c>
      <c r="AR213" s="60" t="e">
        <f>IF(AM213=#REF!,#REF!,"Exceed")</f>
        <v>#REF!</v>
      </c>
      <c r="AS213" s="84">
        <f>(AN214-AN213)*(AM224-AM213)/(AM214-AM213)+AN213</f>
        <v>0.3679132416239399</v>
      </c>
      <c r="AU213" s="82" t="s">
        <v>169</v>
      </c>
      <c r="AV213" s="58">
        <f>VLOOKUP(AV224,AV196:AV207,1)</f>
        <v>1</v>
      </c>
      <c r="AW213" s="59">
        <f>IF(AV213=AV196,AX196,IF(AV213=AV197,AX197,IF(AV213=AV198,AX198,AX213)))</f>
        <v>0.4</v>
      </c>
      <c r="AX213" s="59">
        <f>IF(AV213=AV199,AX199,IF(AV213=AV200,AX200,IF(AV213=AV201,AX201,AY213)))</f>
        <v>0.4</v>
      </c>
      <c r="AY213" s="59" t="e">
        <f>IF(AV213=AV202,AX202,IF(AV213=AV203,AX203,IF(AV213=AV204,AX204,AZ213)))</f>
        <v>#REF!</v>
      </c>
      <c r="AZ213" s="59" t="e">
        <f>IF(AV213=AV205,AX205,IF(AV213=AV206,AX206,IF(AV213=AV207,AX207,BA213)))</f>
        <v>#REF!</v>
      </c>
      <c r="BA213" s="60" t="e">
        <f>IF(AV213=#REF!,#REF!,"Exceed")</f>
        <v>#REF!</v>
      </c>
      <c r="BB213" s="84">
        <f>(AW214-AW213)*(AV224-AV213)/(AV214-AV213)+AW213</f>
        <v>0.40120651958075704</v>
      </c>
      <c r="BD213" s="82" t="s">
        <v>169</v>
      </c>
      <c r="BE213" s="58">
        <f>VLOOKUP(BE224,BE196:BE207,1)</f>
        <v>0.75</v>
      </c>
      <c r="BF213" s="59">
        <f>IF(BE213=BE196,BG196,IF(BE213=BE197,BG197,IF(BE213=BE198,BG198,BG213)))</f>
        <v>0.36</v>
      </c>
      <c r="BG213" s="59">
        <f>IF(BE213=BE199,BG199,IF(BE213=BE200,BG200,IF(BE213=BE201,BG201,BH213)))</f>
        <v>0.36</v>
      </c>
      <c r="BH213" s="59" t="e">
        <f>IF(BE213=BE202,BG202,IF(BE213=BE203,BG203,IF(BE213=BE204,BG204,BI213)))</f>
        <v>#REF!</v>
      </c>
      <c r="BI213" s="59" t="e">
        <f>IF(BE213=BE205,BG205,IF(BE213=BE206,BG206,IF(BE213=BE207,BG207,BJ213)))</f>
        <v>#REF!</v>
      </c>
      <c r="BJ213" s="60" t="e">
        <f>IF(BE213=#REF!,#REF!,"Exceed")</f>
        <v>#REF!</v>
      </c>
      <c r="BK213" s="84">
        <f>(BF214-BF213)*(BE224-BE213)/(BE214-BE213)+BF213</f>
        <v>0.36835694464245711</v>
      </c>
    </row>
    <row r="214" spans="1:63" ht="18.75" x14ac:dyDescent="0.3">
      <c r="A214" s="78"/>
      <c r="F214" s="22" t="s">
        <v>90</v>
      </c>
      <c r="G214" s="5">
        <f>E150+H151</f>
        <v>-151.19999999999999</v>
      </c>
      <c r="H214" t="s">
        <v>84</v>
      </c>
      <c r="I214" s="114"/>
      <c r="K214" s="83"/>
      <c r="L214" s="64">
        <f>IF(VLOOKUP(L224,L196:L207,1)=L196,L197,VLOOKUP(L224,L196:L207,1)+0.25)</f>
        <v>0.25</v>
      </c>
      <c r="M214" s="62">
        <f>IF(L214=L196,N196,IF(L214=L197,N197,IF(L214=L198,N198,N214)))</f>
        <v>0.23</v>
      </c>
      <c r="N214" s="62" t="e">
        <f>IF(L214=L199,N199,IF(L214=L200,N200,IF(L214=L201,N201,O214)))</f>
        <v>#REF!</v>
      </c>
      <c r="O214" s="62" t="e">
        <f>IF(L214=L202,N202,IF(L214=L203,N203,IF(L214=L204,N204,P214)))</f>
        <v>#REF!</v>
      </c>
      <c r="P214" s="62" t="e">
        <f>IF(L214=L205,N205,IF(L214=L206,N206,IF(L214=L207,N207,Q214)))</f>
        <v>#REF!</v>
      </c>
      <c r="Q214" s="63" t="e">
        <f>IF(L214=#REF!,#REF!,"Exceed")</f>
        <v>#REF!</v>
      </c>
      <c r="R214" s="84"/>
      <c r="T214" s="83"/>
      <c r="U214" s="64">
        <f>IF(VLOOKUP(U224,U196:U207,1)=U196,U197,VLOOKUP(U224,U196:U207,1)+0.25)</f>
        <v>1.25</v>
      </c>
      <c r="V214" s="62">
        <f>IF(U214=U196,W196,IF(U214=U197,W197,IF(U214=U198,W198,W214)))</f>
        <v>0.44</v>
      </c>
      <c r="W214" s="62">
        <f>IF(U214=U199,W199,IF(U214=U200,W200,IF(U214=U201,W201,X214)))</f>
        <v>0.44</v>
      </c>
      <c r="X214" s="62" t="e">
        <f>IF(U214=U202,W202,IF(U214=U203,W203,IF(U214=U204,W204,Y214)))</f>
        <v>#REF!</v>
      </c>
      <c r="Y214" s="62" t="e">
        <f>IF(U214=U205,W205,IF(U214=U206,W206,IF(U214=U207,W207,Z214)))</f>
        <v>#REF!</v>
      </c>
      <c r="Z214" s="63" t="e">
        <f>IF(U214=#REF!,#REF!,"Exceed")</f>
        <v>#REF!</v>
      </c>
      <c r="AA214" s="84"/>
      <c r="AC214" s="83"/>
      <c r="AD214" s="64">
        <f>IF(VLOOKUP(AD224,AD196:AD207,1)=AD196,AD197,VLOOKUP(AD224,AD196:AD207,1)+0.25)</f>
        <v>0.75</v>
      </c>
      <c r="AE214" s="62">
        <f>IF(AD214=AD196,AF196,IF(AD214=AD197,AF197,IF(AD214=AD198,AF198,AF214)))</f>
        <v>0.36</v>
      </c>
      <c r="AF214" s="62">
        <f>IF(AD214=AD199,AF199,IF(AD214=AD200,AF200,IF(AD214=AD201,AF201,AG214)))</f>
        <v>0.36</v>
      </c>
      <c r="AG214" s="62" t="e">
        <f>IF(AD214=AD202,AF202,IF(AD214=AD203,AF203,IF(AD214=AD204,AF204,AH214)))</f>
        <v>#REF!</v>
      </c>
      <c r="AH214" s="62" t="e">
        <f>IF(AD214=AD205,AF205,IF(AD214=AD206,AF206,IF(AD214=AD207,AF207,AI214)))</f>
        <v>#REF!</v>
      </c>
      <c r="AI214" s="63" t="e">
        <f>IF(AD214=#REF!,#REF!,"Exceed")</f>
        <v>#REF!</v>
      </c>
      <c r="AJ214" s="84"/>
      <c r="AL214" s="83"/>
      <c r="AM214" s="64">
        <f>IF(VLOOKUP(AM224,AM196:AM207,1)=AM196,AM197,VLOOKUP(AM224,AM196:AM207,1)+0.25)</f>
        <v>1</v>
      </c>
      <c r="AN214" s="62">
        <f>IF(AM214=AM196,AO196,IF(AM214=AM197,AO197,IF(AM214=AM198,AO198,AO214)))</f>
        <v>0.4</v>
      </c>
      <c r="AO214" s="62">
        <f>IF(AM214=AM199,AO199,IF(AM214=AM200,AO200,IF(AM214=AM201,AO201,AP214)))</f>
        <v>0.4</v>
      </c>
      <c r="AP214" s="62" t="e">
        <f>IF(AM214=AM202,AO202,IF(AM214=AM203,AO203,IF(AM214=AM204,AO204,AQ214)))</f>
        <v>#REF!</v>
      </c>
      <c r="AQ214" s="62" t="e">
        <f>IF(AM214=AM205,AO205,IF(AM214=AM206,AO206,IF(AM214=AM207,AO207,AR214)))</f>
        <v>#REF!</v>
      </c>
      <c r="AR214" s="63" t="e">
        <f>IF(AM214=#REF!,#REF!,"Exceed")</f>
        <v>#REF!</v>
      </c>
      <c r="AS214" s="84"/>
      <c r="AU214" s="83"/>
      <c r="AV214" s="64">
        <f>IF(VLOOKUP(AV224,AV196:AV207,1)=AV196,AV197,VLOOKUP(AV224,AV196:AV207,1)+0.25)</f>
        <v>1.25</v>
      </c>
      <c r="AW214" s="62">
        <f>IF(AV214=AV196,AX196,IF(AV214=AV197,AX197,IF(AV214=AV198,AX198,AX214)))</f>
        <v>0.44</v>
      </c>
      <c r="AX214" s="62">
        <f>IF(AV214=AV199,AX199,IF(AV214=AV200,AX200,IF(AV214=AV201,AX201,AY214)))</f>
        <v>0.44</v>
      </c>
      <c r="AY214" s="62" t="e">
        <f>IF(AV214=AV202,AX202,IF(AV214=AV203,AX203,IF(AV214=AV204,AX204,AZ214)))</f>
        <v>#REF!</v>
      </c>
      <c r="AZ214" s="62" t="e">
        <f>IF(AV214=AV205,AX205,IF(AV214=AV206,AX206,IF(AV214=AV207,AX207,BA214)))</f>
        <v>#REF!</v>
      </c>
      <c r="BA214" s="63" t="e">
        <f>IF(AV214=#REF!,#REF!,"Exceed")</f>
        <v>#REF!</v>
      </c>
      <c r="BB214" s="84"/>
      <c r="BD214" s="83"/>
      <c r="BE214" s="64">
        <f>IF(VLOOKUP(BE224,BE196:BE207,1)=BE196,BE197,VLOOKUP(BE224,BE196:BE207,1)+0.25)</f>
        <v>1</v>
      </c>
      <c r="BF214" s="62">
        <f>IF(BE214=BE196,BG196,IF(BE214=BE197,BG197,IF(BE214=BE198,BG198,BG214)))</f>
        <v>0.4</v>
      </c>
      <c r="BG214" s="62">
        <f>IF(BE214=BE199,BG199,IF(BE214=BE200,BG200,IF(BE214=BE201,BG201,BH214)))</f>
        <v>0.4</v>
      </c>
      <c r="BH214" s="62" t="e">
        <f>IF(BE214=BE202,BG202,IF(BE214=BE203,BG203,IF(BE214=BE204,BG204,BI214)))</f>
        <v>#REF!</v>
      </c>
      <c r="BI214" s="62" t="e">
        <f>IF(BE214=BE205,BG205,IF(BE214=BE206,BG206,IF(BE214=BE207,BG207,BJ214)))</f>
        <v>#REF!</v>
      </c>
      <c r="BJ214" s="63" t="e">
        <f>IF(BE214=#REF!,#REF!,"Exceed")</f>
        <v>#REF!</v>
      </c>
      <c r="BK214" s="84"/>
    </row>
    <row r="215" spans="1:63" ht="18.75" x14ac:dyDescent="0.3">
      <c r="A215" s="78"/>
      <c r="F215" s="22" t="s">
        <v>87</v>
      </c>
      <c r="G215" s="5">
        <f>B140+E154+H153</f>
        <v>5723.9062499999991</v>
      </c>
      <c r="H215" t="s">
        <v>84</v>
      </c>
      <c r="I215" s="114"/>
      <c r="K215" s="65"/>
      <c r="L215" s="66"/>
      <c r="M215" s="2"/>
      <c r="N215" s="2"/>
      <c r="O215" s="2"/>
      <c r="P215" s="2"/>
      <c r="Q215" s="67"/>
      <c r="R215" s="84"/>
      <c r="T215" s="65"/>
      <c r="U215" s="66"/>
      <c r="V215" s="2"/>
      <c r="W215" s="2"/>
      <c r="X215" s="2"/>
      <c r="Y215" s="2"/>
      <c r="Z215" s="67"/>
      <c r="AA215" s="84"/>
      <c r="AC215" s="65"/>
      <c r="AD215" s="66"/>
      <c r="AE215" s="2"/>
      <c r="AF215" s="2"/>
      <c r="AG215" s="2"/>
      <c r="AH215" s="2"/>
      <c r="AI215" s="67"/>
      <c r="AJ215" s="84"/>
      <c r="AL215" s="65"/>
      <c r="AM215" s="66"/>
      <c r="AN215" s="2"/>
      <c r="AO215" s="2"/>
      <c r="AP215" s="2"/>
      <c r="AQ215" s="2"/>
      <c r="AR215" s="67"/>
      <c r="AS215" s="84"/>
      <c r="AU215" s="65"/>
      <c r="AV215" s="66"/>
      <c r="AW215" s="2"/>
      <c r="AX215" s="2"/>
      <c r="AY215" s="2"/>
      <c r="AZ215" s="2"/>
      <c r="BA215" s="67"/>
      <c r="BB215" s="84"/>
      <c r="BD215" s="65"/>
      <c r="BE215" s="66"/>
      <c r="BF215" s="2"/>
      <c r="BG215" s="2"/>
      <c r="BH215" s="2"/>
      <c r="BI215" s="2"/>
      <c r="BJ215" s="67"/>
      <c r="BK215" s="84"/>
    </row>
    <row r="216" spans="1:63" x14ac:dyDescent="0.25">
      <c r="A216" s="78"/>
      <c r="F216" s="22" t="s">
        <v>91</v>
      </c>
      <c r="I216" s="114"/>
      <c r="K216" s="82" t="s">
        <v>170</v>
      </c>
      <c r="L216" s="58">
        <f>VLOOKUP(L224,L196:L207,1)</f>
        <v>0.15</v>
      </c>
      <c r="M216" s="59">
        <f>IF(L216=L196,O196,IF(L216=L197,O197,IF(L216=L198,O198,N216)))</f>
        <v>0.2</v>
      </c>
      <c r="N216" s="59" t="e">
        <f>IF(L216=L199,O199,IF(L216=L200,O200,IF(L216=L201,O201,O216)))</f>
        <v>#REF!</v>
      </c>
      <c r="O216" s="59" t="e">
        <f>IF(L216=L202,O202,IF(L216=L203,O203,IF(L216=L204,O204,P216)))</f>
        <v>#REF!</v>
      </c>
      <c r="P216" s="59" t="e">
        <f>IF(L216=L205,O205,IF(L216=L206,O206,IF(L216=L207,O207,Q216)))</f>
        <v>#REF!</v>
      </c>
      <c r="Q216" s="60" t="e">
        <f>IF(L216=#REF!,#REF!,"Exceed")</f>
        <v>#REF!</v>
      </c>
      <c r="R216" s="84">
        <f>(M217-M216)*(L224-L216)/(L217-L216)+M216</f>
        <v>0.22273563048728134</v>
      </c>
      <c r="T216" s="82" t="s">
        <v>170</v>
      </c>
      <c r="U216" s="58">
        <f>VLOOKUP(U224,U196:U207,1)</f>
        <v>1</v>
      </c>
      <c r="V216" s="59">
        <f>IF(U216=U196,X196,IF(U216=U197,X197,IF(U216=U198,X198,W216)))</f>
        <v>0.41</v>
      </c>
      <c r="W216" s="59">
        <f>IF(U216=U199,X199,IF(U216=U200,X200,IF(U216=U201,X201,X216)))</f>
        <v>0.41</v>
      </c>
      <c r="X216" s="59" t="e">
        <f>IF(U216=U202,X202,IF(U216=U203,X203,IF(U216=U204,X204,Y216)))</f>
        <v>#REF!</v>
      </c>
      <c r="Y216" s="59" t="e">
        <f>IF(U216=U205,X205,IF(U216=U206,X206,IF(U216=U207,X207,Z216)))</f>
        <v>#REF!</v>
      </c>
      <c r="Z216" s="60" t="e">
        <f>IF(U216=#REF!,#REF!,"Exceed")</f>
        <v>#REF!</v>
      </c>
      <c r="AA216" s="84">
        <f>(V217-V216)*(U224-U216)/(U217-U216)+V216</f>
        <v>0.41599540130422846</v>
      </c>
      <c r="AC216" s="82" t="s">
        <v>170</v>
      </c>
      <c r="AD216" s="58">
        <f>VLOOKUP(AD224,AD196:AD207,1)</f>
        <v>0.5</v>
      </c>
      <c r="AE216" s="59">
        <f>IF(AD216=AD196,AG196,IF(AD216=AD197,AG197,IF(AD216=AD198,AG198,AF216)))</f>
        <v>0.31</v>
      </c>
      <c r="AF216" s="59" t="e">
        <f>IF(AD216=AD199,AG199,IF(AD216=AD200,AG200,IF(AD216=AD201,AG201,AG216)))</f>
        <v>#REF!</v>
      </c>
      <c r="AG216" s="59" t="e">
        <f>IF(AD216=AD202,AG202,IF(AD216=AD203,AG203,IF(AD216=AD204,AG204,AH216)))</f>
        <v>#REF!</v>
      </c>
      <c r="AH216" s="59" t="e">
        <f>IF(AD216=AD205,AG205,IF(AD216=AD206,AG206,IF(AD216=AD207,AG207,AI216)))</f>
        <v>#REF!</v>
      </c>
      <c r="AI216" s="60" t="e">
        <f>IF(AD216=#REF!,#REF!,"Exceed")</f>
        <v>#REF!</v>
      </c>
      <c r="AJ216" s="84">
        <f>(AE217-AE216)*(AD224-AD216)/(AD217-AD216)+AE216</f>
        <v>0.36841334665691106</v>
      </c>
      <c r="AL216" s="82" t="s">
        <v>170</v>
      </c>
      <c r="AM216" s="58">
        <f>VLOOKUP(AM224,AM196:AM207,1)</f>
        <v>0.75</v>
      </c>
      <c r="AN216" s="59">
        <f>IF(AM216=AM196,AP196,IF(AM216=AM197,AP197,IF(AM216=AM198,AP198,AO216)))</f>
        <v>0.37</v>
      </c>
      <c r="AO216" s="59">
        <f>IF(AM216=AM199,AP199,IF(AM216=AM200,AP200,IF(AM216=AM201,AP201,AP216)))</f>
        <v>0.37</v>
      </c>
      <c r="AP216" s="59" t="e">
        <f>IF(AM216=AM202,AP202,IF(AM216=AM203,AP203,IF(AM216=AM204,AP204,AQ216)))</f>
        <v>#REF!</v>
      </c>
      <c r="AQ216" s="59" t="e">
        <f>IF(AM216=AM205,AP205,IF(AM216=AM206,AP206,IF(AM216=AM207,AP207,AR216)))</f>
        <v>#REF!</v>
      </c>
      <c r="AR216" s="60" t="e">
        <f>IF(AM216=#REF!,#REF!,"Exceed")</f>
        <v>#REF!</v>
      </c>
      <c r="AS216" s="84">
        <f>(AN217-AN216)*(AM224-AM216)/(AM217-AM216)+AN216</f>
        <v>0.37791324162393991</v>
      </c>
      <c r="AU216" s="82" t="s">
        <v>170</v>
      </c>
      <c r="AV216" s="58">
        <f>VLOOKUP(AV224,AV196:AV207,1)</f>
        <v>1</v>
      </c>
      <c r="AW216" s="59">
        <f>IF(AV216=AV196,AY196,IF(AV216=AV197,AY197,IF(AV216=AV198,AY198,AX216)))</f>
        <v>0.41</v>
      </c>
      <c r="AX216" s="59">
        <f>IF(AV216=AV199,AY199,IF(AV216=AV200,AY200,IF(AV216=AV201,AY201,AY216)))</f>
        <v>0.41</v>
      </c>
      <c r="AY216" s="59" t="e">
        <f>IF(AV216=AV202,AY202,IF(AV216=AV203,AY203,IF(AV216=AV204,AY204,AZ216)))</f>
        <v>#REF!</v>
      </c>
      <c r="AZ216" s="59" t="e">
        <f>IF(AV216=AV205,AY205,IF(AV216=AV206,AY206,IF(AV216=AV207,AY207,BA216)))</f>
        <v>#REF!</v>
      </c>
      <c r="BA216" s="60" t="e">
        <f>IF(AV216=#REF!,#REF!,"Exceed")</f>
        <v>#REF!</v>
      </c>
      <c r="BB216" s="84">
        <f>(AW217-AW216)*(AV224-AV216)/(AV217-AV216)+AW216</f>
        <v>0.41120651958075699</v>
      </c>
      <c r="BD216" s="82" t="s">
        <v>170</v>
      </c>
      <c r="BE216" s="58">
        <f>VLOOKUP(BE224,BE196:BE207,1)</f>
        <v>0.75</v>
      </c>
      <c r="BF216" s="59">
        <f>IF(BE216=BE196,BH196,IF(BE216=BE197,BH197,IF(BE216=BE198,BH198,BG216)))</f>
        <v>0.37</v>
      </c>
      <c r="BG216" s="59">
        <f>IF(BE216=BE199,BH199,IF(BE216=BE200,BH200,IF(BE216=BE201,BH201,BH216)))</f>
        <v>0.37</v>
      </c>
      <c r="BH216" s="59" t="e">
        <f>IF(BE216=BE202,BH202,IF(BE216=BE203,BH203,IF(BE216=BE204,BH204,BI216)))</f>
        <v>#REF!</v>
      </c>
      <c r="BI216" s="59" t="e">
        <f>IF(BE216=BE205,BH205,IF(BE216=BE206,BH206,IF(BE216=BE207,BH207,BJ216)))</f>
        <v>#REF!</v>
      </c>
      <c r="BJ216" s="60" t="e">
        <f>IF(BE216=#REF!,#REF!,"Exceed")</f>
        <v>#REF!</v>
      </c>
      <c r="BK216" s="84">
        <f>(BF217-BF216)*(BE224-BE216)/(BE217-BE216)+BF216</f>
        <v>0.37835694464245706</v>
      </c>
    </row>
    <row r="217" spans="1:63" x14ac:dyDescent="0.25">
      <c r="A217" s="78"/>
      <c r="F217" s="97" t="s">
        <v>158</v>
      </c>
      <c r="G217" s="99"/>
      <c r="H217" s="99"/>
      <c r="I217" s="48"/>
      <c r="K217" s="83"/>
      <c r="L217" s="64">
        <f>IF(VLOOKUP(L224,L196:L207,1)=L196,L197,VLOOKUP(L224,L196:L207,1)+0.25)</f>
        <v>0.25</v>
      </c>
      <c r="M217" s="62">
        <f>IF(L217=L196,O196,IF(L217=L197,O197,IF(L217=L198,O198,N217)))</f>
        <v>0.23</v>
      </c>
      <c r="N217" s="62" t="e">
        <f>IF(L217=L199,O199,IF(L217=L200,O200,IF(L217=L201,O201,O217)))</f>
        <v>#REF!</v>
      </c>
      <c r="O217" s="62" t="e">
        <f>IF(L217=L202,O202,IF(L217=L203,O203,IF(L217=L204,O204,P217)))</f>
        <v>#REF!</v>
      </c>
      <c r="P217" s="62" t="e">
        <f>IF(L217=L205,O205,IF(L217=L206,O206,IF(L217=L207,O207,Q217)))</f>
        <v>#REF!</v>
      </c>
      <c r="Q217" s="63" t="e">
        <f>IF(L217=#REF!,#REF!,"Exceed")</f>
        <v>#REF!</v>
      </c>
      <c r="R217" s="84"/>
      <c r="T217" s="83"/>
      <c r="U217" s="64">
        <f>IF(VLOOKUP(U224,U196:U207,1)=U196,U197,VLOOKUP(U224,U196:U207,1)+0.25)</f>
        <v>1.25</v>
      </c>
      <c r="V217" s="62">
        <f>IF(U217=U196,X196,IF(U217=U197,X197,IF(U217=U198,X198,W217)))</f>
        <v>0.45</v>
      </c>
      <c r="W217" s="62">
        <f>IF(U217=U199,X199,IF(U217=U200,X200,IF(U217=U201,X201,X217)))</f>
        <v>0.45</v>
      </c>
      <c r="X217" s="62" t="e">
        <f>IF(U217=U202,X202,IF(U217=U203,X203,IF(U217=U204,X204,Y217)))</f>
        <v>#REF!</v>
      </c>
      <c r="Y217" s="62" t="e">
        <f>IF(U217=U205,X205,IF(U217=U206,X206,IF(U217=U207,X207,Z217)))</f>
        <v>#REF!</v>
      </c>
      <c r="Z217" s="63" t="e">
        <f>IF(U217=#REF!,#REF!,"Exceed")</f>
        <v>#REF!</v>
      </c>
      <c r="AA217" s="84"/>
      <c r="AC217" s="83"/>
      <c r="AD217" s="64">
        <f>IF(VLOOKUP(AD224,AD196:AD207,1)=AD196,AD197,VLOOKUP(AD224,AD196:AD207,1)+0.25)</f>
        <v>0.75</v>
      </c>
      <c r="AE217" s="62">
        <f>IF(AD217=AD196,AG196,IF(AD217=AD197,AG197,IF(AD217=AD198,AG198,AF217)))</f>
        <v>0.37</v>
      </c>
      <c r="AF217" s="62">
        <f>IF(AD217=AD199,AG199,IF(AD217=AD200,AG200,IF(AD217=AD201,AG201,AG217)))</f>
        <v>0.37</v>
      </c>
      <c r="AG217" s="62" t="e">
        <f>IF(AD217=AD202,AG202,IF(AD217=AD203,AG203,IF(AD217=AD204,AG204,AH217)))</f>
        <v>#REF!</v>
      </c>
      <c r="AH217" s="62" t="e">
        <f>IF(AD217=AD205,AG205,IF(AD217=AD206,AG206,IF(AD217=AD207,AG207,AI217)))</f>
        <v>#REF!</v>
      </c>
      <c r="AI217" s="63" t="e">
        <f>IF(AD217=#REF!,#REF!,"Exceed")</f>
        <v>#REF!</v>
      </c>
      <c r="AJ217" s="84"/>
      <c r="AL217" s="83"/>
      <c r="AM217" s="64">
        <f>IF(VLOOKUP(AM224,AM196:AM207,1)=AM196,AM197,VLOOKUP(AM224,AM196:AM207,1)+0.25)</f>
        <v>1</v>
      </c>
      <c r="AN217" s="62">
        <f>IF(AM217=AM196,AP196,IF(AM217=AM197,AP197,IF(AM217=AM198,AP198,AO217)))</f>
        <v>0.41</v>
      </c>
      <c r="AO217" s="62">
        <f>IF(AM217=AM199,AP199,IF(AM217=AM200,AP200,IF(AM217=AM201,AP201,AP217)))</f>
        <v>0.41</v>
      </c>
      <c r="AP217" s="62" t="e">
        <f>IF(AM217=AM202,AP202,IF(AM217=AM203,AP203,IF(AM217=AM204,AP204,AQ217)))</f>
        <v>#REF!</v>
      </c>
      <c r="AQ217" s="62" t="e">
        <f>IF(AM217=AM205,AP205,IF(AM217=AM206,AP206,IF(AM217=AM207,AP207,AR217)))</f>
        <v>#REF!</v>
      </c>
      <c r="AR217" s="63" t="e">
        <f>IF(AM217=#REF!,#REF!,"Exceed")</f>
        <v>#REF!</v>
      </c>
      <c r="AS217" s="84"/>
      <c r="AU217" s="83"/>
      <c r="AV217" s="64">
        <f>IF(VLOOKUP(AV224,AV196:AV207,1)=AV196,AV197,VLOOKUP(AV224,AV196:AV207,1)+0.25)</f>
        <v>1.25</v>
      </c>
      <c r="AW217" s="62">
        <f>IF(AV217=AV196,AY196,IF(AV217=AV197,AY197,IF(AV217=AV198,AY198,AX217)))</f>
        <v>0.45</v>
      </c>
      <c r="AX217" s="62">
        <f>IF(AV217=AV199,AY199,IF(AV217=AV200,AY200,IF(AV217=AV201,AY201,AY217)))</f>
        <v>0.45</v>
      </c>
      <c r="AY217" s="62" t="e">
        <f>IF(AV217=AV202,AY202,IF(AV217=AV203,AY203,IF(AV217=AV204,AY204,AZ217)))</f>
        <v>#REF!</v>
      </c>
      <c r="AZ217" s="62" t="e">
        <f>IF(AV217=AV205,AY205,IF(AV217=AV206,AY206,IF(AV217=AV207,AY207,BA217)))</f>
        <v>#REF!</v>
      </c>
      <c r="BA217" s="63" t="e">
        <f>IF(AV217=#REF!,#REF!,"Exceed")</f>
        <v>#REF!</v>
      </c>
      <c r="BB217" s="84"/>
      <c r="BD217" s="83"/>
      <c r="BE217" s="64">
        <f>IF(VLOOKUP(BE224,BE196:BE207,1)=BE196,BE197,VLOOKUP(BE224,BE196:BE207,1)+0.25)</f>
        <v>1</v>
      </c>
      <c r="BF217" s="62">
        <f>IF(BE217=BE196,BH196,IF(BE217=BE197,BH197,IF(BE217=BE198,BH198,BG217)))</f>
        <v>0.41</v>
      </c>
      <c r="BG217" s="62">
        <f>IF(BE217=BE199,BH199,IF(BE217=BE200,BH200,IF(BE217=BE201,BH201,BH217)))</f>
        <v>0.41</v>
      </c>
      <c r="BH217" s="62" t="e">
        <f>IF(BE217=BE202,BH202,IF(BE217=BE203,BH203,IF(BE217=BE204,BH204,BI217)))</f>
        <v>#REF!</v>
      </c>
      <c r="BI217" s="62" t="e">
        <f>IF(BE217=BE205,BH205,IF(BE217=BE206,BH206,IF(BE217=BE207,BH207,BJ217)))</f>
        <v>#REF!</v>
      </c>
      <c r="BJ217" s="63" t="e">
        <f>IF(BE217=#REF!,#REF!,"Exceed")</f>
        <v>#REF!</v>
      </c>
      <c r="BK217" s="84"/>
    </row>
    <row r="218" spans="1:63" x14ac:dyDescent="0.25">
      <c r="A218" s="78"/>
      <c r="F218" s="98"/>
      <c r="G218" s="111"/>
      <c r="H218" s="79">
        <f>D81*G213/ABS(G214)</f>
        <v>2.8612599206349212</v>
      </c>
      <c r="I218" s="172" t="str">
        <f>IF(H218&gt;1.5,"Safe","Unsafe")</f>
        <v>Safe</v>
      </c>
      <c r="K218" s="82" t="s">
        <v>171</v>
      </c>
      <c r="L218" s="58">
        <f>VLOOKUP(L224,L196:L207,1)</f>
        <v>0.15</v>
      </c>
      <c r="M218" s="59">
        <f>IF(L218=L196,P196,IF(L218=L197,P197,IF(L218=L198,P198,N218)))</f>
        <v>0.2</v>
      </c>
      <c r="N218" s="59" t="e">
        <f>IF(L218=L199,P199,IF(L218=L200,P200,IF(L218=L201,P201,O218)))</f>
        <v>#REF!</v>
      </c>
      <c r="O218" s="59" t="e">
        <f>IF(L218=L202,P202,IF(L218=L203,P203,IF(L218=L204,P204,P218)))</f>
        <v>#REF!</v>
      </c>
      <c r="P218" s="59" t="e">
        <f>IF(L218=L205,P205,IF(L218=L206,P206,IF(L218=L207,P207,Q218)))</f>
        <v>#REF!</v>
      </c>
      <c r="Q218" s="60" t="e">
        <f>IF(L218=#REF!,#REF!,"Exceed")</f>
        <v>#REF!</v>
      </c>
      <c r="R218" s="84">
        <f>(M219-M218)*(L224-L218)/(L219-L218)+M218</f>
        <v>0.22273563048728134</v>
      </c>
      <c r="T218" s="82" t="s">
        <v>171</v>
      </c>
      <c r="U218" s="58">
        <f>VLOOKUP(U224,U196:U207,1)</f>
        <v>1</v>
      </c>
      <c r="V218" s="59">
        <f>IF(U218=U196,Y196,IF(U218=U197,Y197,IF(U218=U198,Y198,W218)))</f>
        <v>0.42</v>
      </c>
      <c r="W218" s="59">
        <f>IF(U218=U199,Y199,IF(U218=U200,Y200,IF(U218=U201,Y201,X218)))</f>
        <v>0.42</v>
      </c>
      <c r="X218" s="59" t="e">
        <f>IF(U218=U202,Y202,IF(U218=U203,Y203,IF(U218=U204,Y204,Y218)))</f>
        <v>#REF!</v>
      </c>
      <c r="Y218" s="59" t="e">
        <f>IF(U218=U205,Y205,IF(U218=U206,Y206,IF(U218=U207,Y207,Z218)))</f>
        <v>#REF!</v>
      </c>
      <c r="Z218" s="60" t="e">
        <f>IF(U218=#REF!,#REF!,"Exceed")</f>
        <v>#REF!</v>
      </c>
      <c r="AA218" s="84">
        <f>(V219-V218)*(U224-U218)/(U219-U218)+V218</f>
        <v>0.42449655097817135</v>
      </c>
      <c r="AC218" s="82" t="s">
        <v>171</v>
      </c>
      <c r="AD218" s="58">
        <f>VLOOKUP(AD224,AD196:AD207,1)</f>
        <v>0.5</v>
      </c>
      <c r="AE218" s="59">
        <f>IF(AD218=AD196,AH196,IF(AD218=AD197,AH197,IF(AD218=AD198,AH198,AF218)))</f>
        <v>0.31</v>
      </c>
      <c r="AF218" s="59" t="e">
        <f>IF(AD218=AD199,AH199,IF(AD218=AD200,AH200,IF(AD218=AD201,AH201,AG218)))</f>
        <v>#REF!</v>
      </c>
      <c r="AG218" s="59" t="e">
        <f>IF(AD218=AD202,AH202,IF(AD218=AD203,AH203,IF(AD218=AD204,AH204,AH218)))</f>
        <v>#REF!</v>
      </c>
      <c r="AH218" s="59" t="e">
        <f>IF(AD218=AD205,AH205,IF(AD218=AD206,AH206,IF(AD218=AD207,AH207,AI218)))</f>
        <v>#REF!</v>
      </c>
      <c r="AI218" s="60" t="e">
        <f>IF(AD218=#REF!,#REF!,"Exceed")</f>
        <v>#REF!</v>
      </c>
      <c r="AJ218" s="84">
        <f>(AE219-AE218)*(AD224-AD218)/(AD219-AD218)+AE218</f>
        <v>0.36841334665691106</v>
      </c>
      <c r="AL218" s="82" t="s">
        <v>171</v>
      </c>
      <c r="AM218" s="58">
        <f>VLOOKUP(AM224,AM196:AM207,1)</f>
        <v>0.75</v>
      </c>
      <c r="AN218" s="59">
        <f>IF(AM218=AM196,AQ196,IF(AM218=AM197,AQ197,IF(AM218=AM198,AQ198,AO218)))</f>
        <v>0.37</v>
      </c>
      <c r="AO218" s="59">
        <f>IF(AM218=AM199,AQ199,IF(AM218=AM200,AQ200,IF(AM218=AM201,AQ201,AP218)))</f>
        <v>0.37</v>
      </c>
      <c r="AP218" s="59" t="e">
        <f>IF(AM218=AM202,AQ202,IF(AM218=AM203,AQ203,IF(AM218=AM204,AQ204,AQ218)))</f>
        <v>#REF!</v>
      </c>
      <c r="AQ218" s="59" t="e">
        <f>IF(AM218=AM205,AQ205,IF(AM218=AM206,AQ206,IF(AM218=AM207,AQ207,AR218)))</f>
        <v>#REF!</v>
      </c>
      <c r="AR218" s="60" t="e">
        <f>IF(AM218=#REF!,#REF!,"Exceed")</f>
        <v>#REF!</v>
      </c>
      <c r="AS218" s="84">
        <f>(AN219-AN218)*(AM224-AM218)/(AM219-AM218)+AN218</f>
        <v>0.37989155202992492</v>
      </c>
      <c r="AU218" s="82" t="s">
        <v>171</v>
      </c>
      <c r="AV218" s="58">
        <f>VLOOKUP(AV224,AV196:AV207,1)</f>
        <v>1</v>
      </c>
      <c r="AW218" s="59">
        <f>IF(AV218=AV196,AZ196,IF(AV218=AV197,AZ197,IF(AV218=AV198,AZ198,AX218)))</f>
        <v>0.42</v>
      </c>
      <c r="AX218" s="59">
        <f>IF(AV218=AV199,AZ199,IF(AV218=AV200,AZ200,IF(AV218=AV201,AZ201,AY218)))</f>
        <v>0.42</v>
      </c>
      <c r="AY218" s="59" t="e">
        <f>IF(AV218=AV202,AZ202,IF(AV218=AV203,AZ203,IF(AV218=AV204,AZ204,AZ218)))</f>
        <v>#REF!</v>
      </c>
      <c r="AZ218" s="59" t="e">
        <f>IF(AV218=AV205,AZ205,IF(AV218=AV206,AZ206,IF(AV218=AV207,AZ207,BA218)))</f>
        <v>#REF!</v>
      </c>
      <c r="BA218" s="60" t="e">
        <f>IF(AV218=#REF!,#REF!,"Exceed")</f>
        <v>#REF!</v>
      </c>
      <c r="BB218" s="84">
        <f>(AW219-AW218)*(AV224-AV218)/(AV219-AV218)+AW218</f>
        <v>0.42090488968556772</v>
      </c>
      <c r="BD218" s="82" t="s">
        <v>171</v>
      </c>
      <c r="BE218" s="58">
        <f>VLOOKUP(BE224,BE196:BE207,1)</f>
        <v>0.75</v>
      </c>
      <c r="BF218" s="59">
        <f>IF(BE218=BE196,BI196,IF(BE218=BE197,BI197,IF(BE218=BE198,BI198,BG218)))</f>
        <v>0.37</v>
      </c>
      <c r="BG218" s="59">
        <f>IF(BE218=BE199,BI199,IF(BE218=BE200,BI200,IF(BE218=BE201,BI201,BH218)))</f>
        <v>0.37</v>
      </c>
      <c r="BH218" s="59" t="e">
        <f>IF(BE218=BE202,BI202,IF(BE218=BE203,BI203,IF(BE218=BE204,BI204,BI218)))</f>
        <v>#REF!</v>
      </c>
      <c r="BI218" s="59" t="e">
        <f>IF(BE218=BE205,BI205,IF(BE218=BE206,BI206,IF(BE218=BE207,BI207,BJ218)))</f>
        <v>#REF!</v>
      </c>
      <c r="BJ218" s="60" t="e">
        <f>IF(BE218=#REF!,#REF!,"Exceed")</f>
        <v>#REF!</v>
      </c>
      <c r="BK218" s="84">
        <f>(BF219-BF218)*(BE224-BE218)/(BE219-BE218)+BF218</f>
        <v>0.38044618080307135</v>
      </c>
    </row>
    <row r="219" spans="1:63" x14ac:dyDescent="0.25">
      <c r="A219" s="78"/>
      <c r="F219" s="97" t="s">
        <v>159</v>
      </c>
      <c r="G219" s="99"/>
      <c r="H219" s="99"/>
      <c r="I219" s="48"/>
      <c r="K219" s="83"/>
      <c r="L219" s="64">
        <f>IF(VLOOKUP(L224,L196:L207,1)=L196,L197,VLOOKUP(L224,L196:L207,1)+0.25)</f>
        <v>0.25</v>
      </c>
      <c r="M219" s="62">
        <f>IF(L219=L196,P196,IF(L219=L197,P197,IF(L219=L198,P198,N219)))</f>
        <v>0.23</v>
      </c>
      <c r="N219" s="62" t="e">
        <f>IF(L219=L199,P199,IF(L219=L200,P200,IF(L219=L201,P201,O219)))</f>
        <v>#REF!</v>
      </c>
      <c r="O219" s="62" t="e">
        <f>IF(L219=L202,P202,IF(L219=L203,P203,IF(L219=L204,P204,P219)))</f>
        <v>#REF!</v>
      </c>
      <c r="P219" s="62" t="e">
        <f>IF(L219=L205,P205,IF(L219=L206,P206,IF(L219=L207,P207,Q219)))</f>
        <v>#REF!</v>
      </c>
      <c r="Q219" s="63" t="e">
        <f>IF(L219=#REF!,#REF!,"Exceed")</f>
        <v>#REF!</v>
      </c>
      <c r="R219" s="84"/>
      <c r="T219" s="83"/>
      <c r="U219" s="64">
        <f>IF(VLOOKUP(U224,U196:U207,1)=U196,U197,VLOOKUP(U224,U196:U207,1)+0.25)</f>
        <v>1.25</v>
      </c>
      <c r="V219" s="62">
        <f>IF(U219=U196,Y196,IF(U219=U197,Y197,IF(U219=U198,Y198,W219)))</f>
        <v>0.45</v>
      </c>
      <c r="W219" s="62">
        <f>IF(U219=U199,Y199,IF(U219=U200,Y200,IF(U219=U201,Y201,X219)))</f>
        <v>0.45</v>
      </c>
      <c r="X219" s="62" t="e">
        <f>IF(U219=U202,Y202,IF(U219=U203,Y203,IF(U219=U204,Y204,Y219)))</f>
        <v>#REF!</v>
      </c>
      <c r="Y219" s="62" t="e">
        <f>IF(U219=U205,Y205,IF(U219=U206,Y206,IF(U219=U207,Y207,Z219)))</f>
        <v>#REF!</v>
      </c>
      <c r="Z219" s="63" t="e">
        <f>IF(U219=#REF!,#REF!,"Exceed")</f>
        <v>#REF!</v>
      </c>
      <c r="AA219" s="84"/>
      <c r="AC219" s="83"/>
      <c r="AD219" s="64">
        <f>IF(VLOOKUP(AD224,AD196:AD207,1)=AD196,AD197,VLOOKUP(AD224,AD196:AD207,1)+0.25)</f>
        <v>0.75</v>
      </c>
      <c r="AE219" s="62">
        <f>IF(AD219=AD196,AH196,IF(AD219=AD197,AH197,IF(AD219=AD198,AH198,AF219)))</f>
        <v>0.37</v>
      </c>
      <c r="AF219" s="62">
        <f>IF(AD219=AD199,AH199,IF(AD219=AD200,AH200,IF(AD219=AD201,AH201,AG219)))</f>
        <v>0.37</v>
      </c>
      <c r="AG219" s="62" t="e">
        <f>IF(AD219=AD202,AH202,IF(AD219=AD203,AH203,IF(AD219=AD204,AH204,AH219)))</f>
        <v>#REF!</v>
      </c>
      <c r="AH219" s="62" t="e">
        <f>IF(AD219=AD205,AH205,IF(AD219=AD206,AH206,IF(AD219=AD207,AH207,AI219)))</f>
        <v>#REF!</v>
      </c>
      <c r="AI219" s="63" t="e">
        <f>IF(AD219=#REF!,#REF!,"Exceed")</f>
        <v>#REF!</v>
      </c>
      <c r="AJ219" s="84"/>
      <c r="AL219" s="83"/>
      <c r="AM219" s="64">
        <f>IF(VLOOKUP(AM224,AM196:AM207,1)=AM196,AM197,VLOOKUP(AM224,AM196:AM207,1)+0.25)</f>
        <v>1</v>
      </c>
      <c r="AN219" s="62">
        <f>IF(AM219=AM196,AQ196,IF(AM219=AM197,AQ197,IF(AM219=AM198,AQ198,AO219)))</f>
        <v>0.42</v>
      </c>
      <c r="AO219" s="62">
        <f>IF(AM219=AM199,AQ199,IF(AM219=AM200,AQ200,IF(AM219=AM201,AQ201,AP219)))</f>
        <v>0.42</v>
      </c>
      <c r="AP219" s="62" t="e">
        <f>IF(AM219=AM202,AQ202,IF(AM219=AM203,AQ203,IF(AM219=AM204,AQ204,AQ219)))</f>
        <v>#REF!</v>
      </c>
      <c r="AQ219" s="62" t="e">
        <f>IF(AM219=AM205,AQ205,IF(AM219=AM206,AQ206,IF(AM219=AM207,AQ207,AR219)))</f>
        <v>#REF!</v>
      </c>
      <c r="AR219" s="63" t="e">
        <f>IF(AM219=#REF!,#REF!,"Exceed")</f>
        <v>#REF!</v>
      </c>
      <c r="AS219" s="84"/>
      <c r="AU219" s="83"/>
      <c r="AV219" s="64">
        <f>IF(VLOOKUP(AV224,AV196:AV207,1)=AV196,AV197,VLOOKUP(AV224,AV196:AV207,1)+0.25)</f>
        <v>1.25</v>
      </c>
      <c r="AW219" s="62">
        <f>IF(AV219=AV196,AZ196,IF(AV219=AV197,AZ197,IF(AV219=AV198,AZ198,AX219)))</f>
        <v>0.45</v>
      </c>
      <c r="AX219" s="62">
        <f>IF(AV219=AV199,AZ199,IF(AV219=AV200,AZ200,IF(AV219=AV201,AZ201,AY219)))</f>
        <v>0.45</v>
      </c>
      <c r="AY219" s="62" t="e">
        <f>IF(AV219=AV202,AZ202,IF(AV219=AV203,AZ203,IF(AV219=AV204,AZ204,AZ219)))</f>
        <v>#REF!</v>
      </c>
      <c r="AZ219" s="62" t="e">
        <f>IF(AV219=AV205,AZ205,IF(AV219=AV206,AZ206,IF(AV219=AV207,AZ207,BA219)))</f>
        <v>#REF!</v>
      </c>
      <c r="BA219" s="63" t="e">
        <f>IF(AV219=#REF!,#REF!,"Exceed")</f>
        <v>#REF!</v>
      </c>
      <c r="BB219" s="84"/>
      <c r="BD219" s="83"/>
      <c r="BE219" s="64">
        <f>IF(VLOOKUP(BE224,BE196:BE207,1)=BE196,BE197,VLOOKUP(BE224,BE196:BE207,1)+0.25)</f>
        <v>1</v>
      </c>
      <c r="BF219" s="62">
        <f>IF(BE219=BE196,BI196,IF(BE219=BE197,BI197,IF(BE219=BE198,BI198,BG219)))</f>
        <v>0.42</v>
      </c>
      <c r="BG219" s="62">
        <f>IF(BE219=BE199,BI199,IF(BE219=BE200,BI200,IF(BE219=BE201,BI201,BH219)))</f>
        <v>0.42</v>
      </c>
      <c r="BH219" s="62" t="e">
        <f>IF(BE219=BE202,BI202,IF(BE219=BE203,BI203,IF(BE219=BE204,BI204,BI219)))</f>
        <v>#REF!</v>
      </c>
      <c r="BI219" s="62" t="e">
        <f>IF(BE219=BE205,BI205,IF(BE219=BE206,BI206,IF(BE219=BE207,BI207,BJ219)))</f>
        <v>#REF!</v>
      </c>
      <c r="BJ219" s="63" t="e">
        <f>IF(BE219=#REF!,#REF!,"Exceed")</f>
        <v>#REF!</v>
      </c>
      <c r="BK219" s="84"/>
    </row>
    <row r="220" spans="1:63" x14ac:dyDescent="0.25">
      <c r="A220" s="78"/>
      <c r="F220" s="98"/>
      <c r="G220" s="111"/>
      <c r="H220" s="79">
        <f>B140/ABS(E154+H153)</f>
        <v>17.562228732638886</v>
      </c>
      <c r="I220" s="172" t="str">
        <f>IF(H220&gt;2,"Safe","Unsafe")</f>
        <v>Safe</v>
      </c>
      <c r="K220" s="82" t="s">
        <v>172</v>
      </c>
      <c r="L220" s="58">
        <f>VLOOKUP(L224,L196:L207,1)</f>
        <v>0.15</v>
      </c>
      <c r="M220" s="59">
        <f>IF(L220=L196,Q196,IF(L220=L197,Q197,IF(L220=L198,Q198,N220)))</f>
        <v>0.2</v>
      </c>
      <c r="N220" s="59" t="e">
        <f>IF(L220=L199,Q199,IF(L220=L200,Q200,IF(L220=L201,Q201,O220)))</f>
        <v>#REF!</v>
      </c>
      <c r="O220" s="59" t="e">
        <f>IF(L220=L202,Q202,IF(L220=L203,Q203,IF(L220=L204,Q204,P220)))</f>
        <v>#REF!</v>
      </c>
      <c r="P220" s="59" t="e">
        <f>IF(L220=L205,Q205,IF(L220=L206,Q206,IF(L220=L207,Q207,Q220)))</f>
        <v>#REF!</v>
      </c>
      <c r="Q220" s="60" t="e">
        <f>IF(L220=#REF!,#REF!,"Exceed")</f>
        <v>#REF!</v>
      </c>
      <c r="R220" s="84">
        <f>(M221-M220)*(L224-L220)/(L221-L220)+M220</f>
        <v>0.22273563048728134</v>
      </c>
      <c r="T220" s="82" t="s">
        <v>172</v>
      </c>
      <c r="U220" s="58">
        <f>VLOOKUP(U224,U196:U207,1)</f>
        <v>1</v>
      </c>
      <c r="V220" s="59">
        <f>IF(U220=U196,Z196,IF(U220=U197,Z197,IF(U220=U198,Z198,W220)))</f>
        <v>0.42</v>
      </c>
      <c r="W220" s="59">
        <f>IF(U220=U199,Z199,IF(U220=U200,Z200,IF(U220=U201,Z201,X220)))</f>
        <v>0.42</v>
      </c>
      <c r="X220" s="59" t="e">
        <f>IF(U220=U202,Z202,IF(U220=U203,Z203,IF(U220=U204,Z204,Y220)))</f>
        <v>#REF!</v>
      </c>
      <c r="Y220" s="59" t="e">
        <f>IF(U220=U205,Z205,IF(U220=U206,Z206,IF(U220=U207,Z207,Z220)))</f>
        <v>#REF!</v>
      </c>
      <c r="Z220" s="60" t="e">
        <f>IF(U220=#REF!,#REF!,"Exceed")</f>
        <v>#REF!</v>
      </c>
      <c r="AA220" s="84">
        <f>(V221-V220)*(U224-U220)/(U221-U220)+V220</f>
        <v>0.42599540130422847</v>
      </c>
      <c r="AC220" s="82" t="s">
        <v>172</v>
      </c>
      <c r="AD220" s="58">
        <f>VLOOKUP(AD224,AD196:AD207,1)</f>
        <v>0.5</v>
      </c>
      <c r="AE220" s="59">
        <f>IF(AD220=AD196,AI196,IF(AD220=AD197,AI197,IF(AD220=AD198,AI198,AF220)))</f>
        <v>0.32</v>
      </c>
      <c r="AF220" s="59" t="e">
        <f>IF(AD220=AD199,AI199,IF(AD220=AD200,AI200,IF(AD220=AD201,AI201,AG220)))</f>
        <v>#REF!</v>
      </c>
      <c r="AG220" s="59" t="e">
        <f>IF(AD220=AD202,AI202,IF(AD220=AD203,AI203,IF(AD220=AD204,AI204,AH220)))</f>
        <v>#REF!</v>
      </c>
      <c r="AH220" s="59" t="e">
        <f>IF(AD220=AD205,AI205,IF(AD220=AD206,AI206,IF(AD220=AD207,AI207,AI220)))</f>
        <v>#REF!</v>
      </c>
      <c r="AI220" s="60" t="e">
        <f>IF(AD220=#REF!,#REF!,"Exceed")</f>
        <v>#REF!</v>
      </c>
      <c r="AJ220" s="84">
        <f>(AE221-AE220)*(AD224-AD220)/(AD221-AD220)+AE220</f>
        <v>0.37841334665691106</v>
      </c>
      <c r="AL220" s="82" t="s">
        <v>172</v>
      </c>
      <c r="AM220" s="58">
        <f>VLOOKUP(AM224,AM196:AM207,1)</f>
        <v>0.75</v>
      </c>
      <c r="AN220" s="59">
        <f>IF(AM220=AM196,AR196,IF(AM220=AM197,AR197,IF(AM220=AM198,AR198,AO220)))</f>
        <v>0.38</v>
      </c>
      <c r="AO220" s="59">
        <f>IF(AM220=AM199,AR199,IF(AM220=AM200,AR200,IF(AM220=AM201,AR201,AP220)))</f>
        <v>0.38</v>
      </c>
      <c r="AP220" s="59" t="e">
        <f>IF(AM220=AM202,AR202,IF(AM220=AM203,AR203,IF(AM220=AM204,AR204,AQ220)))</f>
        <v>#REF!</v>
      </c>
      <c r="AQ220" s="59" t="e">
        <f>IF(AM220=AM205,AR205,IF(AM220=AM206,AR206,IF(AM220=AM207,AR207,AR220)))</f>
        <v>#REF!</v>
      </c>
      <c r="AR220" s="60" t="e">
        <f>IF(AM220=#REF!,#REF!,"Exceed")</f>
        <v>#REF!</v>
      </c>
      <c r="AS220" s="84">
        <f>(AN221-AN220)*(AM224-AM220)/(AM221-AM220)+AN220</f>
        <v>0.38791324162393992</v>
      </c>
      <c r="AU220" s="82" t="s">
        <v>172</v>
      </c>
      <c r="AV220" s="58">
        <f>VLOOKUP(AV224,AV196:AV207,1)</f>
        <v>1</v>
      </c>
      <c r="AW220" s="59">
        <f>IF(AV220=AV196,BA196,IF(AV220=AV197,BA197,IF(AV220=AV198,BA198,AX220)))</f>
        <v>0.42</v>
      </c>
      <c r="AX220" s="59">
        <f>IF(AV220=AV199,BA199,IF(AV220=AV200,BA200,IF(AV220=AV201,BA201,AY220)))</f>
        <v>0.42</v>
      </c>
      <c r="AY220" s="59" t="e">
        <f>IF(AV220=AV202,BA202,IF(AV220=AV203,BA203,IF(AV220=AV204,BA204,AZ220)))</f>
        <v>#REF!</v>
      </c>
      <c r="AZ220" s="59" t="e">
        <f>IF(AV220=AV205,BA205,IF(AV220=AV206,BA206,IF(AV220=AV207,BA207,BA220)))</f>
        <v>#REF!</v>
      </c>
      <c r="BA220" s="60" t="e">
        <f>IF(AV220=#REF!,#REF!,"Exceed")</f>
        <v>#REF!</v>
      </c>
      <c r="BB220" s="84">
        <f>(AW221-AW220)*(AV224-AV220)/(AV221-AV220)+AW220</f>
        <v>0.421206519580757</v>
      </c>
      <c r="BD220" s="82" t="s">
        <v>172</v>
      </c>
      <c r="BE220" s="58">
        <f>VLOOKUP(BE224,BE196:BE207,1)</f>
        <v>0.75</v>
      </c>
      <c r="BF220" s="59">
        <f>IF(BE220=BE196,BJ196,IF(BE220=BE197,BJ197,IF(BE220=BE198,BJ198,BG220)))</f>
        <v>0.38</v>
      </c>
      <c r="BG220" s="59">
        <f>IF(BE220=BE199,BJ199,IF(BE220=BE200,BJ200,IF(BE220=BE201,BJ201,BH220)))</f>
        <v>0.38</v>
      </c>
      <c r="BH220" s="59" t="e">
        <f>IF(BE220=BE202,BJ202,IF(BE220=BE203,BJ203,IF(BE220=BE204,BJ204,BI220)))</f>
        <v>#REF!</v>
      </c>
      <c r="BI220" s="59" t="e">
        <f>IF(BE220=BE205,BJ205,IF(BE220=BE206,BJ206,IF(BE220=BE207,BJ207,BJ220)))</f>
        <v>#REF!</v>
      </c>
      <c r="BJ220" s="60" t="e">
        <f>IF(BE220=#REF!,#REF!,"Exceed")</f>
        <v>#REF!</v>
      </c>
      <c r="BK220" s="84">
        <f>(BF221-BF220)*(BE224-BE220)/(BE221-BE220)+BF220</f>
        <v>0.38835694464245707</v>
      </c>
    </row>
    <row r="221" spans="1:63" x14ac:dyDescent="0.25">
      <c r="A221" s="78"/>
      <c r="I221" s="114"/>
      <c r="K221" s="83"/>
      <c r="L221" s="64">
        <f>IF(VLOOKUP(L224,L196:L207,1)=L196,L197,VLOOKUP(L224,L196:L207,1)+0.25)</f>
        <v>0.25</v>
      </c>
      <c r="M221" s="62">
        <f>IF(L221=L196,Q196,IF(L221=L197,Q197,IF(L221=L198,Q198,N221)))</f>
        <v>0.23</v>
      </c>
      <c r="N221" s="62" t="e">
        <f>IF(L221=L199,Q199,IF(L221=L200,Q200,IF(L221=L201,Q201,O221)))</f>
        <v>#REF!</v>
      </c>
      <c r="O221" s="62" t="e">
        <f>IF(L221=L202,Q202,IF(L221=L203,Q203,IF(L221=L204,Q204,P221)))</f>
        <v>#REF!</v>
      </c>
      <c r="P221" s="62" t="e">
        <f>IF(L221=L205,Q205,IF(L221=L206,Q206,IF(L221=L207,Q207,Q221)))</f>
        <v>#REF!</v>
      </c>
      <c r="Q221" s="63" t="e">
        <f>IF(L221=#REF!,#REF!,"Exceed")</f>
        <v>#REF!</v>
      </c>
      <c r="R221" s="84"/>
      <c r="T221" s="83"/>
      <c r="U221" s="64">
        <f>IF(VLOOKUP(U224,U196:U207,1)=U196,U197,VLOOKUP(U224,U196:U207,1)+0.25)</f>
        <v>1.25</v>
      </c>
      <c r="V221" s="62">
        <f>IF(U221=U196,Z196,IF(U221=U197,Z197,IF(U221=U198,Z198,W221)))</f>
        <v>0.46</v>
      </c>
      <c r="W221" s="62">
        <f>IF(U221=U199,Z199,IF(U221=U200,Z200,IF(U221=U201,Z201,X221)))</f>
        <v>0.46</v>
      </c>
      <c r="X221" s="62" t="e">
        <f>IF(U221=U202,Z202,IF(U221=U203,Z203,IF(U221=U204,Z204,Y221)))</f>
        <v>#REF!</v>
      </c>
      <c r="Y221" s="62" t="e">
        <f>IF(U221=U205,Z205,IF(U221=U206,Z206,IF(U221=U207,Z207,Z221)))</f>
        <v>#REF!</v>
      </c>
      <c r="Z221" s="63" t="e">
        <f>IF(U221=#REF!,#REF!,"Exceed")</f>
        <v>#REF!</v>
      </c>
      <c r="AA221" s="84"/>
      <c r="AC221" s="83"/>
      <c r="AD221" s="64">
        <f>IF(VLOOKUP(AD224,AD196:AD207,1)=AD196,AD197,VLOOKUP(AD224,AD196:AD207,1)+0.25)</f>
        <v>0.75</v>
      </c>
      <c r="AE221" s="62">
        <f>IF(AD221=AD196,AI196,IF(AD221=AD197,AI197,IF(AD221=AD198,AI198,AF221)))</f>
        <v>0.38</v>
      </c>
      <c r="AF221" s="62">
        <f>IF(AD221=AD199,AI199,IF(AD221=AD200,AI200,IF(AD221=AD201,AI201,AG221)))</f>
        <v>0.38</v>
      </c>
      <c r="AG221" s="62" t="e">
        <f>IF(AD221=AD202,AI202,IF(AD221=AD203,AI203,IF(AD221=AD204,AI204,AH221)))</f>
        <v>#REF!</v>
      </c>
      <c r="AH221" s="62" t="e">
        <f>IF(AD221=AD205,AI205,IF(AD221=AD206,AI206,IF(AD221=AD207,AI207,AI221)))</f>
        <v>#REF!</v>
      </c>
      <c r="AI221" s="63" t="e">
        <f>IF(AD221=#REF!,#REF!,"Exceed")</f>
        <v>#REF!</v>
      </c>
      <c r="AJ221" s="84"/>
      <c r="AL221" s="83"/>
      <c r="AM221" s="64">
        <f>IF(VLOOKUP(AM224,AM196:AM207,1)=AM196,AM197,VLOOKUP(AM224,AM196:AM207,1)+0.25)</f>
        <v>1</v>
      </c>
      <c r="AN221" s="62">
        <f>IF(AM221=AM196,AR196,IF(AM221=AM197,AR197,IF(AM221=AM198,AR198,AO221)))</f>
        <v>0.42</v>
      </c>
      <c r="AO221" s="62">
        <f>IF(AM221=AM199,AR199,IF(AM221=AM200,AR200,IF(AM221=AM201,AR201,AP221)))</f>
        <v>0.42</v>
      </c>
      <c r="AP221" s="62" t="e">
        <f>IF(AM221=AM202,AR202,IF(AM221=AM203,AR203,IF(AM221=AM204,AR204,AQ221)))</f>
        <v>#REF!</v>
      </c>
      <c r="AQ221" s="62" t="e">
        <f>IF(AM221=AM205,AR205,IF(AM221=AM206,AR206,IF(AM221=AM207,AR207,AR221)))</f>
        <v>#REF!</v>
      </c>
      <c r="AR221" s="63" t="e">
        <f>IF(AM221=#REF!,#REF!,"Exceed")</f>
        <v>#REF!</v>
      </c>
      <c r="AS221" s="84"/>
      <c r="AU221" s="83"/>
      <c r="AV221" s="64">
        <f>IF(VLOOKUP(AV224,AV196:AV207,1)=AV196,AV197,VLOOKUP(AV224,AV196:AV207,1)+0.25)</f>
        <v>1.25</v>
      </c>
      <c r="AW221" s="62">
        <f>IF(AV221=AV196,BA196,IF(AV221=AV197,BA197,IF(AV221=AV198,BA198,AX221)))</f>
        <v>0.46</v>
      </c>
      <c r="AX221" s="62">
        <f>IF(AV221=AV199,BA199,IF(AV221=AV200,BA200,IF(AV221=AV201,BA201,AY221)))</f>
        <v>0.46</v>
      </c>
      <c r="AY221" s="62" t="e">
        <f>IF(AV221=AV202,BA202,IF(AV221=AV203,BA203,IF(AV221=AV204,BA204,AZ221)))</f>
        <v>#REF!</v>
      </c>
      <c r="AZ221" s="62" t="e">
        <f>IF(AV221=AV205,BA205,IF(AV221=AV206,BA206,IF(AV221=AV207,BA207,BA221)))</f>
        <v>#REF!</v>
      </c>
      <c r="BA221" s="63" t="e">
        <f>IF(AV221=#REF!,#REF!,"Exceed")</f>
        <v>#REF!</v>
      </c>
      <c r="BB221" s="84"/>
      <c r="BD221" s="83"/>
      <c r="BE221" s="64">
        <f>IF(VLOOKUP(BE224,BE196:BE207,1)=BE196,BE197,VLOOKUP(BE224,BE196:BE207,1)+0.25)</f>
        <v>1</v>
      </c>
      <c r="BF221" s="62">
        <f>IF(BE221=BE196,BJ196,IF(BE221=BE197,BJ197,IF(BE221=BE198,BJ198,BG221)))</f>
        <v>0.42</v>
      </c>
      <c r="BG221" s="62">
        <f>IF(BE221=BE199,BJ199,IF(BE221=BE200,BJ200,IF(BE221=BE201,BJ201,BH221)))</f>
        <v>0.42</v>
      </c>
      <c r="BH221" s="62" t="e">
        <f>IF(BE221=BE202,BJ202,IF(BE221=BE203,BJ203,IF(BE221=BE204,BJ204,BI221)))</f>
        <v>#REF!</v>
      </c>
      <c r="BI221" s="62" t="e">
        <f>IF(BE221=BE205,BJ205,IF(BE221=BE206,BJ206,IF(BE221=BE207,BJ207,BJ221)))</f>
        <v>#REF!</v>
      </c>
      <c r="BJ221" s="63" t="e">
        <f>IF(BE221=#REF!,#REF!,"Exceed")</f>
        <v>#REF!</v>
      </c>
      <c r="BK221" s="84"/>
    </row>
    <row r="222" spans="1:63" x14ac:dyDescent="0.25">
      <c r="A222" s="173" t="s">
        <v>93</v>
      </c>
      <c r="I222" s="114"/>
    </row>
    <row r="223" spans="1:63" ht="18.75" x14ac:dyDescent="0.3">
      <c r="A223" s="78"/>
      <c r="G223" s="22" t="s">
        <v>89</v>
      </c>
      <c r="H223" s="5">
        <f>B139-E174</f>
        <v>865.24500000000012</v>
      </c>
      <c r="I223" s="114" t="s">
        <v>84</v>
      </c>
    </row>
    <row r="224" spans="1:63" ht="18.75" x14ac:dyDescent="0.3">
      <c r="A224" s="78"/>
      <c r="G224" s="22" t="s">
        <v>90</v>
      </c>
      <c r="H224" s="5">
        <f>E150+H151+E200+H200+E175</f>
        <v>-151.19999999999999</v>
      </c>
      <c r="I224" s="114" t="s">
        <v>84</v>
      </c>
      <c r="K224" t="s">
        <v>179</v>
      </c>
      <c r="L224" s="71">
        <f>C323</f>
        <v>0.22578543495760445</v>
      </c>
      <c r="M224" s="6" t="s">
        <v>176</v>
      </c>
      <c r="N224" t="s">
        <v>13</v>
      </c>
      <c r="P224" s="72">
        <f>D$85</f>
        <v>30</v>
      </c>
      <c r="T224" t="s">
        <v>179</v>
      </c>
      <c r="U224" s="71">
        <f>D323</f>
        <v>1.037471258151428</v>
      </c>
      <c r="V224" s="6" t="s">
        <v>176</v>
      </c>
      <c r="W224" t="s">
        <v>13</v>
      </c>
      <c r="Y224" s="72">
        <f>P224</f>
        <v>30</v>
      </c>
      <c r="AC224" t="s">
        <v>179</v>
      </c>
      <c r="AD224" s="71">
        <f>E323</f>
        <v>0.74338894440379621</v>
      </c>
      <c r="AE224" s="6" t="s">
        <v>176</v>
      </c>
      <c r="AF224" t="s">
        <v>13</v>
      </c>
      <c r="AH224" s="72">
        <f>Y224</f>
        <v>30</v>
      </c>
      <c r="AL224" t="s">
        <v>179</v>
      </c>
      <c r="AM224" s="71">
        <f>C343</f>
        <v>0.79945776014962455</v>
      </c>
      <c r="AN224" s="6" t="s">
        <v>176</v>
      </c>
      <c r="AO224" t="s">
        <v>13</v>
      </c>
      <c r="AQ224" s="72">
        <f>P224</f>
        <v>30</v>
      </c>
      <c r="AU224" t="s">
        <v>179</v>
      </c>
      <c r="AV224" s="71">
        <f>D343</f>
        <v>1.0075407473797313</v>
      </c>
      <c r="AW224" s="6" t="s">
        <v>176</v>
      </c>
      <c r="AX224" t="s">
        <v>13</v>
      </c>
      <c r="AZ224" s="72">
        <f>AQ224</f>
        <v>30</v>
      </c>
      <c r="BD224" t="s">
        <v>179</v>
      </c>
      <c r="BE224" s="71">
        <f>D361</f>
        <v>0.80223090401535679</v>
      </c>
      <c r="BF224" s="6" t="s">
        <v>176</v>
      </c>
      <c r="BG224" t="s">
        <v>13</v>
      </c>
      <c r="BI224" s="72">
        <f>AQ224</f>
        <v>30</v>
      </c>
    </row>
    <row r="225" spans="1:61" ht="18.75" x14ac:dyDescent="0.3">
      <c r="A225" s="78"/>
      <c r="G225" s="22" t="s">
        <v>87</v>
      </c>
      <c r="H225" s="5">
        <f>B140-D137*G161+E154+H153+E206+H203+D137*G159</f>
        <v>5723.9062499999991</v>
      </c>
      <c r="I225" s="114" t="s">
        <v>88</v>
      </c>
      <c r="L225" s="68">
        <f>IF(P224&lt;20,"Grade Not Exist",IF(P224=20,R211,IF(P224=25,R213,P225)))</f>
        <v>0.22273563048728134</v>
      </c>
      <c r="P225" s="2">
        <f>IF(P224=30,R216,IF(P224=35,R218,IF(P224=40,R220,"Grade Exceed from table")))</f>
        <v>0.22273563048728134</v>
      </c>
      <c r="U225" s="68">
        <f>IF(Y224&lt;20,"Grade Not Exist",IF(Y224=20,AA211,IF(Y224=25,AA213,Y225)))</f>
        <v>0.41599540130422846</v>
      </c>
      <c r="Y225" s="2">
        <f>IF(Y224=30,AA216,IF(Y224=35,AA218,IF(Y224=40,AA220,"Grade Exceed from table")))</f>
        <v>0.41599540130422846</v>
      </c>
      <c r="AD225" s="68">
        <f>IF(AH224&lt;20,"Grade Not Exist",IF(AH224=20,AJ211,IF(AH224=25,AJ213,AH225)))</f>
        <v>0.36841334665691106</v>
      </c>
      <c r="AH225" s="2">
        <f>IF(AH224=30,AJ216,IF(AH224=35,AJ218,IF(AH224=40,AJ220,"Grade Exceed from table")))</f>
        <v>0.36841334665691106</v>
      </c>
      <c r="AM225" s="68">
        <f>IF(AQ224&lt;20,"Grade Not Exist",IF(AQ224=20,AS211,IF(AQ224=25,AS213,AQ225)))</f>
        <v>0.37791324162393991</v>
      </c>
      <c r="AQ225" s="2">
        <f>IF(AQ224=30,AS216,IF(AQ224=35,AS218,IF(AQ224=40,AS220,"Grade Exceed from table")))</f>
        <v>0.37791324162393991</v>
      </c>
      <c r="AV225" s="68">
        <f>IF(AZ224&lt;20,"Grade Not Exist",IF(AZ224=20,BB211,IF(AZ224=25,BB213,AZ225)))</f>
        <v>0.41120651958075699</v>
      </c>
      <c r="AZ225" s="2">
        <f>IF(AZ224=30,BB216,IF(AZ224=35,BB218,IF(AZ224=40,BB220,"Grade Exceed from table")))</f>
        <v>0.41120651958075699</v>
      </c>
      <c r="BE225" s="68">
        <f>IF(BI224&lt;20,"Grade Not Exist",IF(BI224=20,BK211,IF(BI224=25,BK213,BI225)))</f>
        <v>0.37835694464245706</v>
      </c>
      <c r="BI225" s="2">
        <f>IF(BI224=30,BK216,IF(BI224=35,BK218,IF(BI224=40,BK220,"Grade Exceed from table")))</f>
        <v>0.37835694464245706</v>
      </c>
    </row>
    <row r="226" spans="1:61" x14ac:dyDescent="0.25">
      <c r="A226" s="78"/>
      <c r="I226" s="114"/>
    </row>
    <row r="227" spans="1:61" x14ac:dyDescent="0.25">
      <c r="A227" s="78"/>
      <c r="F227" s="22" t="s">
        <v>91</v>
      </c>
      <c r="I227" s="114"/>
    </row>
    <row r="228" spans="1:61" x14ac:dyDescent="0.25">
      <c r="A228" s="78"/>
      <c r="F228" s="97" t="s">
        <v>158</v>
      </c>
      <c r="G228" s="99"/>
      <c r="H228" s="99"/>
      <c r="I228" s="48"/>
    </row>
    <row r="229" spans="1:61" x14ac:dyDescent="0.25">
      <c r="A229" s="78"/>
      <c r="F229" s="98"/>
      <c r="G229" s="111"/>
      <c r="H229" s="79">
        <f>D81*H223/ABS(H224)</f>
        <v>2.8612599206349212</v>
      </c>
      <c r="I229" s="172" t="str">
        <f>IF(H229&gt;1.25,"Safe","Unsafe")</f>
        <v>Safe</v>
      </c>
    </row>
    <row r="230" spans="1:61" x14ac:dyDescent="0.25">
      <c r="A230" s="78"/>
      <c r="F230" s="97" t="s">
        <v>159</v>
      </c>
      <c r="G230" s="99"/>
      <c r="H230" s="99"/>
      <c r="I230" s="48"/>
    </row>
    <row r="231" spans="1:61" x14ac:dyDescent="0.25">
      <c r="A231" s="98"/>
      <c r="B231" s="111"/>
      <c r="C231" s="111"/>
      <c r="D231" s="111"/>
      <c r="E231" s="111"/>
      <c r="F231" s="98"/>
      <c r="G231" s="111"/>
      <c r="H231" s="79">
        <f>B140/(ABS(E154+H153+E206+H203+D137*G159)+D137*G161)</f>
        <v>17.562228732638886</v>
      </c>
      <c r="I231" s="172" t="str">
        <f>IF(H231&gt;1.5,"Safe","Unsafe")</f>
        <v>Safe</v>
      </c>
    </row>
    <row r="239" spans="1:61" x14ac:dyDescent="0.25">
      <c r="A239" s="174" t="s">
        <v>85</v>
      </c>
      <c r="B239" s="99"/>
      <c r="C239" s="99"/>
      <c r="D239" s="99"/>
      <c r="E239" s="99"/>
      <c r="F239" s="99"/>
      <c r="G239" s="99"/>
      <c r="H239" s="99"/>
      <c r="I239" s="48"/>
    </row>
    <row r="240" spans="1:61" ht="18.75" x14ac:dyDescent="0.3">
      <c r="A240" s="78"/>
      <c r="F240" s="22" t="s">
        <v>89</v>
      </c>
      <c r="G240" s="5">
        <f>B139+F131</f>
        <v>1008.8850000000001</v>
      </c>
      <c r="H240" t="s">
        <v>84</v>
      </c>
      <c r="I240" s="114"/>
    </row>
    <row r="241" spans="1:9" ht="18.75" x14ac:dyDescent="0.3">
      <c r="A241" s="78"/>
      <c r="F241" s="22" t="s">
        <v>90</v>
      </c>
      <c r="G241" s="5">
        <f>G214</f>
        <v>-151.19999999999999</v>
      </c>
      <c r="H241" t="s">
        <v>84</v>
      </c>
      <c r="I241" s="114"/>
    </row>
    <row r="242" spans="1:9" ht="18.75" x14ac:dyDescent="0.3">
      <c r="A242" s="78"/>
      <c r="F242" s="22" t="s">
        <v>87</v>
      </c>
      <c r="G242" s="5">
        <f>G215+H131</f>
        <v>6826.343249999999</v>
      </c>
      <c r="H242" t="s">
        <v>88</v>
      </c>
      <c r="I242" s="114"/>
    </row>
    <row r="243" spans="1:9" ht="15" customHeight="1" x14ac:dyDescent="0.25">
      <c r="A243" s="78"/>
      <c r="F243" s="209" t="s">
        <v>95</v>
      </c>
      <c r="G243" s="31">
        <f>G242/G240</f>
        <v>6.7662253378729966</v>
      </c>
      <c r="H243" t="s">
        <v>2</v>
      </c>
      <c r="I243" s="114"/>
    </row>
    <row r="244" spans="1:9" ht="15" customHeight="1" x14ac:dyDescent="0.25">
      <c r="A244" s="78"/>
      <c r="F244" s="209" t="s">
        <v>96</v>
      </c>
      <c r="G244" s="31">
        <f>H67/2-G243</f>
        <v>-1.2662253378729966</v>
      </c>
      <c r="H244" s="210" t="str">
        <f>IF(G244&gt;0,"m Form Center Towards Toe","m From Center Towards Heel")</f>
        <v>m From Center Towards Heel</v>
      </c>
      <c r="I244" s="211"/>
    </row>
    <row r="245" spans="1:9" x14ac:dyDescent="0.25">
      <c r="A245" s="78"/>
      <c r="H245" s="210"/>
      <c r="I245" s="211"/>
    </row>
    <row r="246" spans="1:9" x14ac:dyDescent="0.25">
      <c r="A246" s="78"/>
      <c r="I246" s="114"/>
    </row>
    <row r="247" spans="1:9" x14ac:dyDescent="0.25">
      <c r="A247" s="98"/>
      <c r="B247" s="111"/>
      <c r="C247" s="111"/>
      <c r="D247" s="111"/>
      <c r="E247" s="111"/>
      <c r="F247" s="111"/>
      <c r="G247" s="111"/>
      <c r="H247" s="111"/>
      <c r="I247" s="116"/>
    </row>
    <row r="248" spans="1:9" x14ac:dyDescent="0.25">
      <c r="A248" s="137" t="str">
        <f>IF(G244&gt;0,"Maximum Pressure at Toe","Minimum Pressure at Toe")</f>
        <v>Minimum Pressure at Toe</v>
      </c>
      <c r="B248" s="207"/>
      <c r="C248" s="99"/>
      <c r="D248" s="208"/>
      <c r="E248" s="207"/>
      <c r="F248" s="207"/>
      <c r="G248" s="99"/>
      <c r="H248" s="207"/>
      <c r="I248" s="225"/>
    </row>
    <row r="249" spans="1:9" x14ac:dyDescent="0.25">
      <c r="A249" s="78"/>
      <c r="H249" s="3"/>
      <c r="I249" s="213"/>
    </row>
    <row r="250" spans="1:9" ht="17.25" x14ac:dyDescent="0.25">
      <c r="A250" s="78"/>
      <c r="D250" s="25">
        <f>-(G240/H67)*(1+6*G244/H67)</f>
        <v>-28.370913223140594</v>
      </c>
      <c r="E250" s="3" t="s">
        <v>97</v>
      </c>
      <c r="F250" s="26" t="str">
        <f>IF(G244&lt;0,IF(D250&lt;0,"Safe in Pressure Check","Unsafe Tension Occurs"),IF(ABS(D250)&lt;D79,"Safe in Pressure Check","Safe Bearing Capacity is less than Pressure"))</f>
        <v>Safe in Pressure Check</v>
      </c>
      <c r="G250" s="23"/>
      <c r="H250" s="3"/>
      <c r="I250" s="213"/>
    </row>
    <row r="251" spans="1:9" x14ac:dyDescent="0.25">
      <c r="A251" s="78"/>
      <c r="B251" s="23"/>
      <c r="F251" s="214"/>
      <c r="G251" s="3"/>
      <c r="H251" s="23"/>
      <c r="I251" s="212"/>
    </row>
    <row r="252" spans="1:9" x14ac:dyDescent="0.25">
      <c r="A252" s="139" t="str">
        <f>IF(G244&gt;0,"Minimum Pressure at Heel","Maximum Pressure at Heel")</f>
        <v>Maximum Pressure at Heel</v>
      </c>
      <c r="B252" s="25"/>
      <c r="C252" s="25"/>
      <c r="D252" s="24"/>
      <c r="E252" s="23"/>
      <c r="F252" s="27"/>
      <c r="H252" s="23"/>
      <c r="I252" s="212"/>
    </row>
    <row r="253" spans="1:9" x14ac:dyDescent="0.25">
      <c r="A253" s="78"/>
      <c r="B253" s="23"/>
      <c r="C253" s="25"/>
      <c r="D253" s="23"/>
      <c r="E253" s="23"/>
      <c r="F253" s="214"/>
      <c r="I253" s="212"/>
    </row>
    <row r="254" spans="1:9" ht="17.25" x14ac:dyDescent="0.25">
      <c r="A254" s="215"/>
      <c r="B254" s="3"/>
      <c r="D254" s="25">
        <f>-(G240/H67)*(1-6*G244/H67)</f>
        <v>-155.06272314049579</v>
      </c>
      <c r="E254" s="3" t="s">
        <v>97</v>
      </c>
      <c r="F254" s="26" t="str">
        <f>IF(G244&lt;0,IF(ABS(D254)&lt;D79,"Safe in Pressure Check","Safe Bearing Capacity is less than Pressure"),IF(D254&lt;0,"Safe in Pressure Check","Unsafe Tension Occurs"))</f>
        <v>Safe in Pressure Check</v>
      </c>
      <c r="H254" s="3"/>
      <c r="I254" s="213"/>
    </row>
    <row r="255" spans="1:9" x14ac:dyDescent="0.25">
      <c r="A255" s="98"/>
      <c r="B255" s="111"/>
      <c r="C255" s="111"/>
      <c r="D255" s="111"/>
      <c r="E255" s="111"/>
      <c r="F255" s="111"/>
      <c r="G255" s="111"/>
      <c r="H255" s="111"/>
      <c r="I255" s="116"/>
    </row>
    <row r="256" spans="1:9" x14ac:dyDescent="0.25">
      <c r="A256" s="3"/>
    </row>
    <row r="257" spans="1:9" x14ac:dyDescent="0.25">
      <c r="A257" s="97"/>
      <c r="B257" s="99"/>
      <c r="C257" s="99"/>
      <c r="D257" s="99"/>
      <c r="E257" s="99"/>
      <c r="F257" s="99"/>
      <c r="G257" s="99"/>
      <c r="H257" s="99"/>
      <c r="I257" s="48"/>
    </row>
    <row r="258" spans="1:9" ht="18.75" x14ac:dyDescent="0.3">
      <c r="A258" s="173" t="s">
        <v>93</v>
      </c>
      <c r="G258" s="22" t="s">
        <v>89</v>
      </c>
      <c r="H258" s="5">
        <f>B139+E174+F131</f>
        <v>1008.8850000000001</v>
      </c>
      <c r="I258" s="114" t="s">
        <v>84</v>
      </c>
    </row>
    <row r="259" spans="1:9" ht="18.75" x14ac:dyDescent="0.3">
      <c r="A259" s="78"/>
      <c r="G259" s="22" t="s">
        <v>90</v>
      </c>
      <c r="H259" s="5">
        <f>E150+H151+E200+H200+E175</f>
        <v>-151.19999999999999</v>
      </c>
      <c r="I259" s="114" t="s">
        <v>84</v>
      </c>
    </row>
    <row r="260" spans="1:9" ht="18.75" x14ac:dyDescent="0.3">
      <c r="A260" s="78"/>
      <c r="G260" s="22" t="s">
        <v>87</v>
      </c>
      <c r="H260">
        <f>B140+H131+D137*G161+E154+H153+E206+H203+D137*G159</f>
        <v>6826.343249999999</v>
      </c>
      <c r="I260" s="114" t="s">
        <v>88</v>
      </c>
    </row>
    <row r="261" spans="1:9" x14ac:dyDescent="0.25">
      <c r="A261" s="78"/>
      <c r="G261" s="209" t="s">
        <v>95</v>
      </c>
      <c r="H261" s="5">
        <f>H260/H258</f>
        <v>6.7662253378729966</v>
      </c>
      <c r="I261" s="114" t="s">
        <v>2</v>
      </c>
    </row>
    <row r="262" spans="1:9" x14ac:dyDescent="0.25">
      <c r="A262" s="78"/>
      <c r="G262" s="209" t="s">
        <v>96</v>
      </c>
      <c r="H262" s="5">
        <f>H67/2-H261</f>
        <v>-1.2662253378729966</v>
      </c>
      <c r="I262" s="114" t="s">
        <v>2</v>
      </c>
    </row>
    <row r="263" spans="1:9" x14ac:dyDescent="0.25">
      <c r="A263" s="78"/>
      <c r="H263" s="321" t="str">
        <f>IF(H262&gt;0,"m Form Center Towards Toe","m From Center Towards Heel")</f>
        <v>m From Center Towards Heel</v>
      </c>
      <c r="I263" s="322"/>
    </row>
    <row r="264" spans="1:9" x14ac:dyDescent="0.25">
      <c r="A264" s="78"/>
      <c r="H264" s="321"/>
      <c r="I264" s="322"/>
    </row>
    <row r="265" spans="1:9" x14ac:dyDescent="0.25">
      <c r="A265" s="98"/>
      <c r="B265" s="111"/>
      <c r="C265" s="111"/>
      <c r="D265" s="111"/>
      <c r="E265" s="111"/>
      <c r="F265" s="111"/>
      <c r="G265" s="111"/>
      <c r="H265" s="111"/>
      <c r="I265" s="116"/>
    </row>
    <row r="266" spans="1:9" x14ac:dyDescent="0.25">
      <c r="A266" s="137" t="str">
        <f>IF(H262&gt;0,"Maximum Pressure at Toe","Minimum Pressure at Toe")</f>
        <v>Minimum Pressure at Toe</v>
      </c>
      <c r="B266" s="207"/>
      <c r="C266" s="99"/>
      <c r="D266" s="208"/>
      <c r="E266" s="207"/>
      <c r="F266" s="207"/>
      <c r="G266" s="99"/>
      <c r="H266" s="207"/>
      <c r="I266" s="48"/>
    </row>
    <row r="267" spans="1:9" x14ac:dyDescent="0.25">
      <c r="A267" s="78"/>
      <c r="G267" s="23"/>
      <c r="H267" s="3"/>
      <c r="I267" s="114"/>
    </row>
    <row r="268" spans="1:9" ht="17.25" x14ac:dyDescent="0.25">
      <c r="A268" s="78"/>
      <c r="D268" s="25">
        <f>-(H258/H67)*(1+6*H262/H67)</f>
        <v>-28.370913223140594</v>
      </c>
      <c r="E268" s="3" t="s">
        <v>97</v>
      </c>
      <c r="F268" s="26" t="str">
        <f>IF(H262&lt;0,IF(D268&lt;0,"Safe in Pressure Check","Unsafe Tension Occurs"),IF(ABS(D268)&lt;D79,"Safe in Pressure Check","Safe Bearing Capacity is less than Pressure"))</f>
        <v>Safe in Pressure Check</v>
      </c>
      <c r="G268" s="3"/>
      <c r="H268" s="3"/>
      <c r="I268" s="114"/>
    </row>
    <row r="269" spans="1:9" x14ac:dyDescent="0.25">
      <c r="A269" s="78"/>
      <c r="B269" s="23"/>
      <c r="C269" s="25"/>
      <c r="D269" s="5"/>
      <c r="F269" s="214"/>
      <c r="H269" s="23"/>
      <c r="I269" s="114"/>
    </row>
    <row r="270" spans="1:9" x14ac:dyDescent="0.25">
      <c r="A270" s="139" t="str">
        <f>IF(H262&gt;0,"Minimum Pressure at Heel","Maximum Pressure at Heel")</f>
        <v>Maximum Pressure at Heel</v>
      </c>
      <c r="B270" s="25"/>
      <c r="C270" s="25"/>
      <c r="D270" s="24"/>
      <c r="E270" s="23"/>
      <c r="F270" s="27"/>
      <c r="H270" s="23"/>
      <c r="I270" s="114"/>
    </row>
    <row r="271" spans="1:9" x14ac:dyDescent="0.25">
      <c r="A271" s="78"/>
      <c r="B271" s="23"/>
      <c r="D271" s="171"/>
      <c r="E271" s="23"/>
      <c r="F271" s="214"/>
      <c r="I271" s="114"/>
    </row>
    <row r="272" spans="1:9" ht="17.25" x14ac:dyDescent="0.25">
      <c r="A272" s="215"/>
      <c r="B272" s="3"/>
      <c r="C272" s="3"/>
      <c r="D272" s="25">
        <f>-(H258/H67)*(1-6*H262/H67)</f>
        <v>-155.06272314049579</v>
      </c>
      <c r="E272" s="3" t="s">
        <v>97</v>
      </c>
      <c r="F272" s="26" t="str">
        <f>IF(H262&lt;0,IF(ABS(D272)&lt;D79,"Safe in Pressure Check","Safe Bearing Capacity is less than Pressure"),IF(D272&lt;0,"Safe in Pressure Check","Unsafe Tension Occurs"))</f>
        <v>Safe in Pressure Check</v>
      </c>
      <c r="G272" s="3"/>
      <c r="H272" s="3"/>
      <c r="I272" s="114"/>
    </row>
    <row r="273" spans="1:35" x14ac:dyDescent="0.25">
      <c r="A273" s="98"/>
      <c r="B273" s="111"/>
      <c r="C273" s="111"/>
      <c r="D273" s="111"/>
      <c r="E273" s="111"/>
      <c r="F273" s="111"/>
      <c r="G273" s="111"/>
      <c r="H273" s="111"/>
      <c r="I273" s="116"/>
    </row>
    <row r="274" spans="1:35" ht="18" x14ac:dyDescent="0.35">
      <c r="A274" s="80" t="s">
        <v>103</v>
      </c>
      <c r="B274" s="81"/>
      <c r="C274" s="57" t="s">
        <v>105</v>
      </c>
      <c r="D274" s="330" t="s">
        <v>181</v>
      </c>
      <c r="E274" s="330"/>
      <c r="F274" s="57" t="s">
        <v>189</v>
      </c>
      <c r="G274" s="57" t="s">
        <v>190</v>
      </c>
      <c r="H274" s="57" t="s">
        <v>201</v>
      </c>
      <c r="I274" s="36" t="s">
        <v>202</v>
      </c>
    </row>
    <row r="275" spans="1:35" x14ac:dyDescent="0.25">
      <c r="A275" s="78"/>
      <c r="C275" s="2" t="s">
        <v>191</v>
      </c>
      <c r="D275" s="2" t="s">
        <v>192</v>
      </c>
      <c r="E275" s="2" t="s">
        <v>193</v>
      </c>
      <c r="F275" s="2"/>
      <c r="G275" s="2"/>
      <c r="H275" s="2"/>
      <c r="I275" s="67"/>
    </row>
    <row r="276" spans="1:35" x14ac:dyDescent="0.25">
      <c r="A276" s="78" t="s">
        <v>104</v>
      </c>
      <c r="C276" s="31">
        <f>B139</f>
        <v>865.24500000000012</v>
      </c>
      <c r="D276" s="31">
        <f>H151</f>
        <v>-108</v>
      </c>
      <c r="E276" s="31">
        <f>E150</f>
        <v>-43.199999999999996</v>
      </c>
      <c r="F276" s="31">
        <f>H220</f>
        <v>17.562228732638886</v>
      </c>
      <c r="G276" s="31">
        <f>H218</f>
        <v>2.8612599206349212</v>
      </c>
      <c r="H276" s="31">
        <f>MAX(ABS(D250),ABS(D254))</f>
        <v>155.06272314049579</v>
      </c>
      <c r="I276" s="88">
        <f>MIN(ABS(D250),ABS(D254))</f>
        <v>28.370913223140594</v>
      </c>
    </row>
    <row r="277" spans="1:35" ht="18" x14ac:dyDescent="0.35">
      <c r="A277" s="78" t="s">
        <v>106</v>
      </c>
      <c r="C277" s="31">
        <f>B139+E174</f>
        <v>865.24500000000012</v>
      </c>
      <c r="D277" s="31">
        <f>H200+D276</f>
        <v>-108</v>
      </c>
      <c r="E277" s="31">
        <f>E276+E200</f>
        <v>-43.199999999999996</v>
      </c>
      <c r="F277" s="31" t="s">
        <v>195</v>
      </c>
      <c r="G277" s="31" t="s">
        <v>195</v>
      </c>
      <c r="H277" s="31">
        <f>MAX(ABS(D268),ABS(D272))</f>
        <v>155.06272314049579</v>
      </c>
      <c r="I277" s="88">
        <f>MIN(ABS(D268),ABS(D272))</f>
        <v>28.370913223140594</v>
      </c>
    </row>
    <row r="278" spans="1:35" ht="18" x14ac:dyDescent="0.35">
      <c r="A278" s="78" t="s">
        <v>107</v>
      </c>
      <c r="B278" s="111"/>
      <c r="C278" s="31">
        <f>B139-E174</f>
        <v>865.24500000000012</v>
      </c>
      <c r="D278" s="31">
        <f>H200+D276</f>
        <v>-108</v>
      </c>
      <c r="E278" s="31">
        <f>E276+E200</f>
        <v>-43.199999999999996</v>
      </c>
      <c r="F278" s="31">
        <f>H231</f>
        <v>17.562228732638886</v>
      </c>
      <c r="G278" s="31">
        <f>H229</f>
        <v>2.8612599206349212</v>
      </c>
      <c r="H278" s="2" t="s">
        <v>195</v>
      </c>
      <c r="I278" s="67" t="s">
        <v>195</v>
      </c>
    </row>
    <row r="279" spans="1:35" x14ac:dyDescent="0.25">
      <c r="A279" s="80" t="s">
        <v>108</v>
      </c>
      <c r="B279" s="81"/>
      <c r="C279" s="89">
        <f>E174*100/C276</f>
        <v>0</v>
      </c>
      <c r="D279" s="89">
        <f>ABS(D277-D276)*100/ABS(D276)</f>
        <v>0</v>
      </c>
      <c r="E279" s="89">
        <f>IF(H87=0,0,ABS(E277-E276)*100/ABS(E276))</f>
        <v>0</v>
      </c>
      <c r="F279" s="89">
        <f>-ABS(F276-F278)*100/ABS(F276)</f>
        <v>0</v>
      </c>
      <c r="G279" s="89">
        <f>-ABS(G276-G278)*100/ABS(G276)</f>
        <v>0</v>
      </c>
      <c r="H279" s="89">
        <f>IF(H276&lt;H277,ABS(H277-H276)*100/ABS(H276),-ABS(H277-H276)*100/ABS(H276))</f>
        <v>0</v>
      </c>
      <c r="I279" s="90">
        <f>IF(I276&lt;I277,ABS(I277-I276)*100/ABS(I276),-ABS(I277-I276)*100/ABS(I276))</f>
        <v>0</v>
      </c>
    </row>
    <row r="280" spans="1:35" x14ac:dyDescent="0.25">
      <c r="A280" s="99"/>
      <c r="B280" s="99"/>
      <c r="C280" s="226"/>
      <c r="D280" s="226"/>
      <c r="E280" s="226"/>
      <c r="F280" s="226"/>
      <c r="G280" s="226"/>
      <c r="H280" s="226"/>
      <c r="I280" s="227"/>
    </row>
    <row r="281" spans="1:35" x14ac:dyDescent="0.25">
      <c r="C281" s="227"/>
      <c r="D281" s="227"/>
      <c r="E281" s="227"/>
      <c r="F281" s="227"/>
      <c r="G281" s="227"/>
      <c r="H281" s="227"/>
      <c r="I281" s="227"/>
    </row>
    <row r="282" spans="1:35" x14ac:dyDescent="0.25">
      <c r="A282" s="4" t="s">
        <v>182</v>
      </c>
      <c r="B282" s="1"/>
    </row>
    <row r="283" spans="1:35" x14ac:dyDescent="0.25">
      <c r="A283" s="194" t="s">
        <v>185</v>
      </c>
      <c r="B283" s="195"/>
      <c r="C283" s="196"/>
      <c r="D283" s="194" t="s">
        <v>186</v>
      </c>
      <c r="E283" s="195"/>
      <c r="F283" s="196"/>
    </row>
    <row r="284" spans="1:35" x14ac:dyDescent="0.25">
      <c r="A284" s="197" t="s">
        <v>183</v>
      </c>
      <c r="B284" s="1"/>
      <c r="C284" s="198"/>
      <c r="D284" s="197" t="s">
        <v>187</v>
      </c>
      <c r="E284" s="1"/>
      <c r="F284" s="114"/>
    </row>
    <row r="285" spans="1:35" x14ac:dyDescent="0.25">
      <c r="A285" s="199" t="s">
        <v>184</v>
      </c>
      <c r="B285" s="111"/>
      <c r="C285" s="201"/>
      <c r="D285" s="199" t="s">
        <v>188</v>
      </c>
      <c r="E285" s="200"/>
      <c r="F285" s="116"/>
    </row>
    <row r="286" spans="1:35" x14ac:dyDescent="0.25">
      <c r="A286" s="1" t="s">
        <v>156</v>
      </c>
    </row>
    <row r="287" spans="1:35" x14ac:dyDescent="0.25">
      <c r="A287" t="s">
        <v>109</v>
      </c>
      <c r="B287" s="3"/>
      <c r="C287" s="3"/>
      <c r="D287" s="3"/>
      <c r="E287" s="3"/>
      <c r="F287" s="3"/>
      <c r="G287" s="29"/>
      <c r="K287" s="86"/>
      <c r="L287" s="54"/>
      <c r="M287" s="54"/>
      <c r="N287" s="54"/>
      <c r="O287" s="54"/>
      <c r="P287" s="54"/>
      <c r="Q287" s="54"/>
      <c r="T287" s="86"/>
      <c r="U287" s="54"/>
      <c r="V287" s="54"/>
      <c r="W287" s="54"/>
      <c r="X287" s="54"/>
      <c r="Y287" s="54"/>
      <c r="Z287" s="54"/>
      <c r="AC287" s="86"/>
      <c r="AD287" s="54"/>
      <c r="AE287" s="54"/>
      <c r="AF287" s="54"/>
      <c r="AG287" s="54"/>
      <c r="AH287" s="54"/>
      <c r="AI287" s="54"/>
    </row>
    <row r="288" spans="1:35" x14ac:dyDescent="0.25">
      <c r="A288" s="181" t="s">
        <v>98</v>
      </c>
      <c r="B288" s="182"/>
      <c r="C288" s="182"/>
      <c r="D288" s="182"/>
      <c r="E288" s="183"/>
      <c r="F288" s="206" t="s">
        <v>269</v>
      </c>
      <c r="G288" s="36" t="s">
        <v>270</v>
      </c>
      <c r="L288" s="54"/>
      <c r="M288" s="54"/>
      <c r="N288" s="54"/>
      <c r="O288" s="54"/>
      <c r="P288" s="54"/>
      <c r="Q288" s="54"/>
      <c r="U288" s="54"/>
      <c r="V288" s="54"/>
      <c r="W288" s="54"/>
      <c r="X288" s="54"/>
      <c r="Y288" s="54"/>
      <c r="Z288" s="54"/>
      <c r="AD288" s="54"/>
      <c r="AE288" s="54"/>
      <c r="AF288" s="54"/>
      <c r="AG288" s="54"/>
      <c r="AH288" s="54"/>
      <c r="AI288" s="54"/>
    </row>
    <row r="289" spans="1:35" x14ac:dyDescent="0.25">
      <c r="A289" s="139" t="s">
        <v>99</v>
      </c>
      <c r="B289" s="30"/>
      <c r="C289" s="30"/>
      <c r="D289" s="29"/>
      <c r="E289" s="232"/>
      <c r="F289" s="297">
        <v>10</v>
      </c>
      <c r="G289" s="298">
        <v>10</v>
      </c>
      <c r="L289" s="54"/>
      <c r="M289" s="54"/>
      <c r="N289" s="54"/>
      <c r="O289" s="54"/>
      <c r="P289" s="54"/>
      <c r="Q289" s="54"/>
      <c r="U289" s="54"/>
      <c r="V289" s="54"/>
      <c r="W289" s="54"/>
      <c r="X289" s="54"/>
      <c r="Y289" s="54"/>
      <c r="Z289" s="54"/>
      <c r="AD289" s="54"/>
      <c r="AE289" s="54"/>
      <c r="AF289" s="54"/>
      <c r="AG289" s="54"/>
      <c r="AH289" s="54"/>
      <c r="AI289" s="54"/>
    </row>
    <row r="290" spans="1:35" ht="17.25" x14ac:dyDescent="0.25">
      <c r="A290" s="138" t="s">
        <v>144</v>
      </c>
      <c r="B290" s="30"/>
      <c r="C290" s="30"/>
      <c r="D290" s="29"/>
      <c r="E290" s="232"/>
      <c r="F290" s="202">
        <f>D85/3</f>
        <v>10</v>
      </c>
      <c r="G290" s="203">
        <f>F290-F290/3</f>
        <v>6.6666666666666661</v>
      </c>
      <c r="I290" s="3"/>
      <c r="L290" s="54"/>
      <c r="M290" s="54"/>
      <c r="N290" s="100"/>
      <c r="O290" s="54"/>
      <c r="P290" s="54"/>
      <c r="Q290" s="54"/>
      <c r="U290" s="54"/>
      <c r="V290" s="54"/>
      <c r="W290" s="54"/>
      <c r="X290" s="54"/>
      <c r="Y290" s="54"/>
      <c r="Z290" s="54"/>
      <c r="AD290" s="54"/>
      <c r="AE290" s="54"/>
      <c r="AF290" s="54"/>
      <c r="AG290" s="54"/>
      <c r="AH290" s="54"/>
      <c r="AI290" s="54"/>
    </row>
    <row r="291" spans="1:35" ht="17.25" x14ac:dyDescent="0.25">
      <c r="A291" s="138" t="s">
        <v>145</v>
      </c>
      <c r="B291" s="30"/>
      <c r="C291" s="30"/>
      <c r="D291" s="29"/>
      <c r="E291" s="232"/>
      <c r="F291" s="202">
        <f>IF(D86=250,140,IF(D86=415,200,240))</f>
        <v>200</v>
      </c>
      <c r="G291" s="203">
        <f>F291-F291/3</f>
        <v>133.33333333333331</v>
      </c>
      <c r="I291" s="3"/>
      <c r="L291" s="54"/>
      <c r="M291" s="54"/>
      <c r="N291" s="54"/>
      <c r="O291" s="236"/>
      <c r="P291" s="54"/>
      <c r="Q291" s="54"/>
      <c r="U291" s="54"/>
      <c r="V291" s="54"/>
      <c r="W291" s="54"/>
      <c r="X291" s="54"/>
      <c r="Y291" s="54"/>
      <c r="Z291" s="54"/>
      <c r="AD291" s="54"/>
      <c r="AE291" s="54"/>
      <c r="AF291" s="54"/>
      <c r="AG291" s="54"/>
      <c r="AH291" s="54"/>
      <c r="AI291" s="54"/>
    </row>
    <row r="292" spans="1:35" x14ac:dyDescent="0.25">
      <c r="A292" s="138" t="s">
        <v>100</v>
      </c>
      <c r="B292" s="30"/>
      <c r="C292" s="30"/>
      <c r="D292" s="29"/>
      <c r="E292" s="232"/>
      <c r="F292" s="204">
        <f>1/(1+F291/F290/F289)</f>
        <v>0.33333333333333331</v>
      </c>
      <c r="G292" s="204">
        <f>1/(1+G291/G290/G289)</f>
        <v>0.33333333333333331</v>
      </c>
      <c r="L292" s="54"/>
      <c r="M292" s="86"/>
      <c r="N292" s="54"/>
      <c r="O292" s="54"/>
      <c r="P292" s="54"/>
      <c r="Q292" s="54"/>
      <c r="U292" s="54"/>
      <c r="V292" s="54"/>
      <c r="W292" s="54"/>
      <c r="X292" s="54"/>
      <c r="Y292" s="54"/>
      <c r="Z292" s="54"/>
      <c r="AD292" s="54"/>
      <c r="AE292" s="54"/>
      <c r="AF292" s="54"/>
      <c r="AG292" s="54"/>
      <c r="AH292" s="54"/>
      <c r="AI292" s="54"/>
    </row>
    <row r="293" spans="1:35" x14ac:dyDescent="0.25">
      <c r="A293" s="138" t="s">
        <v>101</v>
      </c>
      <c r="B293" s="30"/>
      <c r="C293" s="30"/>
      <c r="D293" s="29"/>
      <c r="E293" s="232"/>
      <c r="F293" s="204">
        <f>1-F292/3</f>
        <v>0.88888888888888884</v>
      </c>
      <c r="G293" s="204">
        <f>1-G292/3</f>
        <v>0.88888888888888884</v>
      </c>
      <c r="L293" s="54"/>
      <c r="M293" s="252"/>
      <c r="N293" s="54"/>
      <c r="O293" s="54"/>
      <c r="P293" s="54"/>
      <c r="Q293" s="54"/>
      <c r="U293" s="54"/>
      <c r="V293" s="54"/>
      <c r="W293" s="54"/>
      <c r="X293" s="54"/>
      <c r="Y293" s="54"/>
      <c r="Z293" s="54"/>
      <c r="AD293" s="54"/>
      <c r="AE293" s="54"/>
      <c r="AF293" s="54"/>
      <c r="AG293" s="54"/>
      <c r="AH293" s="54"/>
      <c r="AI293" s="54"/>
    </row>
    <row r="294" spans="1:35" x14ac:dyDescent="0.25">
      <c r="A294" s="233" t="s">
        <v>102</v>
      </c>
      <c r="B294" s="111"/>
      <c r="C294" s="111"/>
      <c r="D294" s="234"/>
      <c r="E294" s="235"/>
      <c r="F294" s="205">
        <f>0.5*F290*F292*F293</f>
        <v>1.4814814814814812</v>
      </c>
      <c r="G294" s="205">
        <f>0.5*G290*G292*G293</f>
        <v>0.98765432098765416</v>
      </c>
      <c r="L294" s="54"/>
      <c r="M294" s="54"/>
      <c r="N294" s="54"/>
      <c r="O294" s="54"/>
      <c r="P294" s="54"/>
      <c r="Q294" s="54"/>
      <c r="U294" s="54"/>
      <c r="V294" s="54"/>
      <c r="W294" s="54"/>
      <c r="X294" s="54"/>
      <c r="Y294" s="54"/>
      <c r="Z294" s="54"/>
      <c r="AD294" s="54"/>
      <c r="AE294" s="54"/>
      <c r="AF294" s="54"/>
      <c r="AG294" s="54"/>
      <c r="AH294" s="54"/>
      <c r="AI294" s="54"/>
    </row>
    <row r="295" spans="1:35" x14ac:dyDescent="0.25">
      <c r="L295" s="54"/>
      <c r="M295" s="54"/>
      <c r="N295" s="54"/>
      <c r="O295" s="54"/>
      <c r="P295" s="54"/>
      <c r="Q295" s="54"/>
      <c r="U295" s="54"/>
      <c r="V295" s="54"/>
      <c r="W295" s="54"/>
      <c r="X295" s="54"/>
      <c r="Y295" s="54"/>
      <c r="Z295" s="54"/>
      <c r="AD295" s="54"/>
      <c r="AE295" s="54"/>
      <c r="AF295" s="54"/>
      <c r="AG295" s="54"/>
      <c r="AH295" s="54"/>
      <c r="AI295" s="54"/>
    </row>
    <row r="296" spans="1:35" x14ac:dyDescent="0.25">
      <c r="K296" s="91" t="s">
        <v>178</v>
      </c>
      <c r="L296" s="59"/>
      <c r="M296" s="59"/>
      <c r="N296" s="59"/>
      <c r="O296" s="60"/>
      <c r="P296" s="54"/>
      <c r="Q296" s="54"/>
      <c r="U296" s="54"/>
      <c r="V296" s="54"/>
      <c r="W296" s="54"/>
      <c r="X296" s="54"/>
      <c r="Y296" s="54"/>
      <c r="Z296" s="54"/>
      <c r="AD296" s="54"/>
      <c r="AE296" s="54"/>
      <c r="AF296" s="54"/>
      <c r="AG296" s="54"/>
      <c r="AH296" s="54"/>
      <c r="AI296" s="54"/>
    </row>
    <row r="297" spans="1:35" x14ac:dyDescent="0.25">
      <c r="A297" s="119" t="s">
        <v>110</v>
      </c>
      <c r="K297" s="96"/>
      <c r="L297" s="62"/>
      <c r="M297" s="62" t="s">
        <v>113</v>
      </c>
      <c r="N297" s="62" t="s">
        <v>114</v>
      </c>
      <c r="O297" s="63" t="s">
        <v>116</v>
      </c>
      <c r="P297" s="54"/>
      <c r="Q297" s="54"/>
      <c r="R297" s="54"/>
      <c r="U297" s="54"/>
      <c r="V297" s="54"/>
      <c r="W297" s="54"/>
      <c r="X297" s="54"/>
      <c r="Y297" s="54"/>
      <c r="Z297" s="54"/>
      <c r="AD297" s="54"/>
      <c r="AE297" s="54"/>
      <c r="AF297" s="54"/>
      <c r="AG297" s="54"/>
      <c r="AH297" s="54"/>
      <c r="AI297" s="54"/>
    </row>
    <row r="298" spans="1:35" x14ac:dyDescent="0.25">
      <c r="A298" s="32" t="s">
        <v>111</v>
      </c>
      <c r="K298" s="78" t="s">
        <v>198</v>
      </c>
      <c r="M298" s="31">
        <f>D68/3</f>
        <v>1.6333333333333335</v>
      </c>
      <c r="N298" s="31">
        <f>M298*2</f>
        <v>3.2666666666666671</v>
      </c>
      <c r="O298" s="67">
        <f>M298*3</f>
        <v>4.9000000000000004</v>
      </c>
      <c r="P298" s="54"/>
      <c r="Q298" s="54"/>
      <c r="R298" s="2"/>
      <c r="U298" s="54"/>
      <c r="V298" s="54"/>
      <c r="W298" s="54"/>
      <c r="X298" s="54"/>
      <c r="Y298" s="54"/>
      <c r="Z298" s="54"/>
      <c r="AD298" s="54"/>
      <c r="AE298" s="54"/>
      <c r="AF298" s="54"/>
      <c r="AG298" s="54"/>
      <c r="AH298" s="54"/>
      <c r="AI298" s="54"/>
    </row>
    <row r="299" spans="1:35" x14ac:dyDescent="0.25">
      <c r="F299">
        <f>D68</f>
        <v>4.9000000000000004</v>
      </c>
      <c r="K299" s="92" t="s">
        <v>196</v>
      </c>
      <c r="L299" s="2"/>
      <c r="M299" s="31">
        <f>(D68/3)*(D66+D67)/D68+D65</f>
        <v>0.83333333333333326</v>
      </c>
      <c r="N299" s="2">
        <f>(2*D68/3)*(D66+D67)/D68+D65</f>
        <v>1.2166666666666666</v>
      </c>
      <c r="O299" s="67">
        <f>D75</f>
        <v>1.5999999999999999</v>
      </c>
      <c r="P299" s="54" t="s">
        <v>186</v>
      </c>
      <c r="Q299" s="54" t="s">
        <v>186</v>
      </c>
      <c r="R299" s="54" t="s">
        <v>186</v>
      </c>
      <c r="U299" s="54"/>
      <c r="V299" s="54"/>
      <c r="W299" s="54"/>
      <c r="X299" s="54"/>
      <c r="Y299" s="54"/>
      <c r="Z299" s="54"/>
      <c r="AD299" s="54"/>
      <c r="AE299" s="54"/>
      <c r="AF299" s="54"/>
      <c r="AG299" s="54"/>
      <c r="AH299" s="54"/>
      <c r="AI299" s="54"/>
    </row>
    <row r="300" spans="1:35" x14ac:dyDescent="0.25">
      <c r="K300" s="93" t="s">
        <v>197</v>
      </c>
      <c r="L300" s="2"/>
      <c r="M300" s="31">
        <f>M299-(I91+MAX(B90,C90)/2000)/COS(PI()*D73/180)</f>
        <v>0.78402910306824869</v>
      </c>
      <c r="N300" s="31">
        <f>N299-(I91+MAX(B91,C91)/2000)/COS(PI()*D73/180)</f>
        <v>1.1591450646907344</v>
      </c>
      <c r="O300" s="88">
        <f>O299-(I91+MAX(B92,C92)/2000)/COS(PI()*D73/180)</f>
        <v>1.5424783980240677</v>
      </c>
      <c r="P300" s="100">
        <f>(M305*M301/3+M306*M301/2)*(TAN(PI()*((DEGREES(ATAN(D66/D68))+D73))/180))/M303</f>
        <v>-1.8237493670592733</v>
      </c>
      <c r="Q300" s="100">
        <f>(N305*N301/3+N306*N301/2)*(TAN(PI()*((DEGREES(ATAN(D66/D68))+D73))/180))/N303</f>
        <v>-8.3889732163743478</v>
      </c>
      <c r="R300" s="31">
        <f>(O305*O301/3+O306*O301/2)*(TAN(PI()*((DEGREES(ATAN(D66/D68))+D73))/180))/O303</f>
        <v>-18.598461067553853</v>
      </c>
      <c r="U300" s="54"/>
      <c r="V300" s="54"/>
      <c r="W300" s="54"/>
      <c r="X300" s="54"/>
      <c r="Y300" s="54"/>
      <c r="Z300" s="54"/>
      <c r="AD300" s="54"/>
      <c r="AE300" s="54"/>
      <c r="AF300" s="54"/>
      <c r="AG300" s="54"/>
      <c r="AH300" s="54"/>
      <c r="AI300" s="54"/>
    </row>
    <row r="301" spans="1:35" x14ac:dyDescent="0.25">
      <c r="K301" s="92" t="s">
        <v>199</v>
      </c>
      <c r="L301" s="2"/>
      <c r="M301" s="31">
        <f>M298-M300/(1+TAN(PI()*D73/180))</f>
        <v>0.99833455564169404</v>
      </c>
      <c r="N301" s="31">
        <f>N298-N300/(1+TAN(PI()*D73/180))</f>
        <v>2.3278549613799564</v>
      </c>
      <c r="O301" s="88">
        <f>O298-O300/(1+TAN(PI()*D73/180))</f>
        <v>3.6507199751540611</v>
      </c>
      <c r="P301" s="100"/>
      <c r="Q301" s="54"/>
      <c r="U301" s="54"/>
      <c r="V301" s="54"/>
      <c r="W301" s="54"/>
      <c r="X301" s="54"/>
      <c r="Y301" s="54"/>
      <c r="Z301" s="54"/>
      <c r="AD301" s="54"/>
      <c r="AE301" s="54"/>
      <c r="AF301" s="54"/>
      <c r="AG301" s="54"/>
      <c r="AH301" s="54"/>
      <c r="AI301" s="54"/>
    </row>
    <row r="302" spans="1:35" x14ac:dyDescent="0.25">
      <c r="K302" s="93" t="s">
        <v>200</v>
      </c>
      <c r="L302" s="2"/>
      <c r="M302" s="31">
        <f>M301*(D66+D67)/D68+D65</f>
        <v>0.68430300795672405</v>
      </c>
      <c r="N302" s="31">
        <f>N301*(D66+D67)/D68+D65</f>
        <v>0.9963333072626428</v>
      </c>
      <c r="O302" s="88">
        <f>O301*(D66+D67)/D68+D65</f>
        <v>1.3068016268218714</v>
      </c>
      <c r="P302" s="54"/>
      <c r="Q302" s="54"/>
      <c r="U302" s="54"/>
      <c r="V302" s="54"/>
      <c r="W302" s="54"/>
      <c r="X302" s="54"/>
      <c r="Y302" s="54"/>
      <c r="Z302" s="54"/>
      <c r="AD302" s="54"/>
      <c r="AE302" s="54"/>
      <c r="AF302" s="54"/>
      <c r="AG302" s="54"/>
      <c r="AH302" s="54"/>
      <c r="AI302" s="54"/>
    </row>
    <row r="303" spans="1:35" x14ac:dyDescent="0.25">
      <c r="B303" s="1" t="s">
        <v>112</v>
      </c>
      <c r="C303" s="9">
        <f>IF(D72=0,(1/3),(SIN(PI()*(D72+D77)/180)^2)*COS(PI()*D80/180)/(((SIN(PI()*D72/180))*(SIN(PI()*(D72-D80)/180)))*((1+SQRT((SIN(PI()*(D77+D80)/180)*(SIN(PI()*(D77-0)/180)))/((SIN(PI()*(D72-D80)/180))*(SIN(PI()*(D72+0)/180)))))^2)))</f>
        <v>0.37208340651097127</v>
      </c>
      <c r="K303" s="94" t="s">
        <v>197</v>
      </c>
      <c r="L303" s="62"/>
      <c r="M303" s="79">
        <f>M302-(I91+MAX(B90,C90)/2000)/COS(PI()*D73/180)</f>
        <v>0.63499877769163948</v>
      </c>
      <c r="N303" s="79">
        <f>N302-(I91+MAX(B91,C91)/2000)/COS(PI()*D73/180)</f>
        <v>0.93881170528671076</v>
      </c>
      <c r="O303" s="95">
        <f>O302-(I91+MAX(B92,C92)/2000)/COS(PI()*D73/180)</f>
        <v>1.2492800248459393</v>
      </c>
      <c r="P303" s="2"/>
      <c r="Q303" s="2"/>
      <c r="R303" s="2"/>
      <c r="U303" s="2"/>
      <c r="V303" s="2"/>
      <c r="W303" s="2"/>
      <c r="X303" s="2"/>
      <c r="Y303" s="2"/>
      <c r="Z303" s="2"/>
      <c r="AA303" s="2"/>
      <c r="AD303" s="2"/>
      <c r="AE303" s="2"/>
      <c r="AF303" s="2"/>
      <c r="AG303" s="2"/>
      <c r="AH303" s="2"/>
      <c r="AI303" s="2"/>
    </row>
    <row r="304" spans="1:35" x14ac:dyDescent="0.25">
      <c r="K304" s="87"/>
      <c r="L304" s="2"/>
      <c r="M304" s="2"/>
      <c r="N304" s="2"/>
      <c r="O304" s="2"/>
      <c r="P304" s="2"/>
      <c r="Q304" s="2"/>
      <c r="R304" s="87"/>
      <c r="T304" s="87"/>
      <c r="U304" s="2"/>
      <c r="V304" s="2"/>
      <c r="W304" s="2"/>
      <c r="X304" s="2"/>
      <c r="Y304" s="2"/>
      <c r="Z304" s="2"/>
      <c r="AA304" s="87"/>
      <c r="AC304" s="87"/>
      <c r="AD304" s="2"/>
      <c r="AE304" s="2"/>
      <c r="AF304" s="2"/>
      <c r="AG304" s="2"/>
      <c r="AH304" s="2"/>
      <c r="AI304" s="2"/>
    </row>
    <row r="305" spans="1:35" x14ac:dyDescent="0.25">
      <c r="K305" s="107" t="s">
        <v>192</v>
      </c>
      <c r="L305" s="99"/>
      <c r="M305" s="108">
        <f>-(0.5*C303*D78*(M301)^2)*COS(PI()*(D80+D73)/180)</f>
        <v>-2.7925363655756499</v>
      </c>
      <c r="N305" s="108">
        <f>-(0.5*C303*D78*(N301)^2)*COS(PI()*(D80+D73)/180)</f>
        <v>-15.183030537600768</v>
      </c>
      <c r="O305" s="109">
        <f>-(0.5*C303*D78*(O301)^2)*COS(PI()*(D80+D73)/180)</f>
        <v>-37.342524458798884</v>
      </c>
      <c r="P305" s="2"/>
      <c r="Q305" s="2"/>
      <c r="R305" s="87"/>
      <c r="T305" s="87"/>
      <c r="U305" s="31"/>
      <c r="V305" s="2"/>
      <c r="W305" s="2"/>
      <c r="X305" s="2"/>
      <c r="Y305" s="2"/>
      <c r="Z305" s="2"/>
      <c r="AA305" s="87"/>
      <c r="AC305" s="87"/>
      <c r="AD305" s="31"/>
      <c r="AE305" s="2"/>
      <c r="AF305" s="2"/>
      <c r="AG305" s="2"/>
      <c r="AH305" s="2"/>
      <c r="AI305" s="2"/>
    </row>
    <row r="306" spans="1:35" x14ac:dyDescent="0.25">
      <c r="K306" s="96" t="s">
        <v>193</v>
      </c>
      <c r="L306" s="111"/>
      <c r="M306" s="79">
        <f>-C303*D78*H87*M301</f>
        <v>-8.0236164016968132</v>
      </c>
      <c r="N306" s="79">
        <f>-C303*D78*H87*N301</f>
        <v>-18.708974004104345</v>
      </c>
      <c r="O306" s="95">
        <f>-C303*D78*H87*O301</f>
        <v>-29.340842210776188</v>
      </c>
      <c r="P306" s="2"/>
      <c r="Q306" s="2"/>
      <c r="R306" s="87"/>
      <c r="T306" s="87"/>
      <c r="U306" s="2"/>
      <c r="V306" s="2"/>
      <c r="W306" s="2"/>
      <c r="X306" s="2"/>
      <c r="Y306" s="2"/>
      <c r="Z306" s="2"/>
      <c r="AA306" s="87"/>
      <c r="AC306" s="87"/>
      <c r="AD306" s="2"/>
      <c r="AE306" s="2"/>
      <c r="AF306" s="2"/>
      <c r="AG306" s="2"/>
      <c r="AH306" s="2"/>
      <c r="AI306" s="2"/>
    </row>
    <row r="307" spans="1:35" x14ac:dyDescent="0.25">
      <c r="A307" s="1" t="s">
        <v>132</v>
      </c>
      <c r="F307" s="2"/>
      <c r="G307" s="2"/>
      <c r="P307" s="2"/>
      <c r="Q307" s="2"/>
      <c r="R307" s="87"/>
      <c r="T307" s="87"/>
      <c r="U307" s="2"/>
      <c r="V307" s="2"/>
      <c r="W307" s="2"/>
      <c r="X307" s="2"/>
      <c r="Y307" s="2"/>
      <c r="Z307" s="2"/>
      <c r="AA307" s="87"/>
      <c r="AC307" s="87"/>
      <c r="AD307" s="2"/>
      <c r="AE307" s="2"/>
      <c r="AF307" s="2"/>
      <c r="AG307" s="2"/>
      <c r="AH307" s="2"/>
      <c r="AI307" s="2"/>
    </row>
    <row r="308" spans="1:35" x14ac:dyDescent="0.25">
      <c r="A308" s="80"/>
      <c r="B308" s="81"/>
      <c r="C308" s="57" t="s">
        <v>113</v>
      </c>
      <c r="D308" s="57" t="s">
        <v>114</v>
      </c>
      <c r="E308" s="36" t="s">
        <v>116</v>
      </c>
      <c r="P308" s="2"/>
      <c r="Q308" s="2"/>
      <c r="R308" s="87"/>
      <c r="T308" s="87"/>
      <c r="U308" s="2"/>
      <c r="V308" s="2"/>
      <c r="W308" s="2"/>
      <c r="X308" s="2"/>
      <c r="Y308" s="2"/>
      <c r="Z308" s="2"/>
      <c r="AA308" s="87"/>
      <c r="AC308" s="87"/>
      <c r="AD308" s="2"/>
      <c r="AE308" s="2"/>
      <c r="AF308" s="2"/>
      <c r="AG308" s="2"/>
      <c r="AH308" s="2"/>
      <c r="AI308" s="2"/>
    </row>
    <row r="309" spans="1:35" x14ac:dyDescent="0.25">
      <c r="A309" s="120" t="s">
        <v>148</v>
      </c>
      <c r="B309" s="99"/>
      <c r="C309" s="108">
        <f>0.5*C303*D78*(D68/3)^2</f>
        <v>8.9337225903284221</v>
      </c>
      <c r="D309" s="108">
        <f>0.5*C303*D78*(2*D68/3)^2</f>
        <v>35.734890361313688</v>
      </c>
      <c r="E309" s="109">
        <f>0.5*C303*D78*(D68)^2</f>
        <v>80.403503312955806</v>
      </c>
      <c r="R309" s="87"/>
      <c r="T309" s="87"/>
      <c r="U309" s="2"/>
      <c r="V309" s="2"/>
      <c r="W309" s="2"/>
      <c r="X309" s="2"/>
      <c r="Y309" s="2"/>
      <c r="Z309" s="2"/>
      <c r="AA309" s="87"/>
      <c r="AC309" s="87"/>
      <c r="AD309" s="2"/>
      <c r="AE309" s="2"/>
      <c r="AF309" s="2"/>
      <c r="AG309" s="2"/>
      <c r="AH309" s="2"/>
      <c r="AI309" s="2"/>
    </row>
    <row r="310" spans="1:35" x14ac:dyDescent="0.25">
      <c r="A310" s="121" t="s">
        <v>146</v>
      </c>
      <c r="C310" s="31">
        <f>C309*COS(PI()*(D80+D73)/180)</f>
        <v>7.4747432649878593</v>
      </c>
      <c r="D310" s="31">
        <f>D309*COS(PI()*(D80+D73)/180)</f>
        <v>29.898973059951437</v>
      </c>
      <c r="E310" s="88">
        <f>E309*COS(PI()*(D80+D73)/180)</f>
        <v>67.272689384890739</v>
      </c>
      <c r="R310" s="87"/>
      <c r="T310" s="87"/>
      <c r="U310" s="2"/>
      <c r="V310" s="2"/>
      <c r="W310" s="2"/>
      <c r="X310" s="2"/>
      <c r="Y310" s="2"/>
      <c r="Z310" s="2"/>
      <c r="AA310" s="87"/>
      <c r="AC310" s="87"/>
      <c r="AD310" s="2"/>
      <c r="AE310" s="2"/>
      <c r="AF310" s="2"/>
      <c r="AG310" s="2"/>
      <c r="AH310" s="2"/>
      <c r="AI310" s="2"/>
    </row>
    <row r="311" spans="1:35" x14ac:dyDescent="0.25">
      <c r="A311" s="121" t="s">
        <v>147</v>
      </c>
      <c r="C311" s="31">
        <f>C303*D78*H87*(D68/3)</f>
        <v>13.127102581707069</v>
      </c>
      <c r="D311" s="31">
        <f>C303*D78*H87*(2*D68/3)</f>
        <v>26.254205163414138</v>
      </c>
      <c r="E311" s="88">
        <f>C303*D78*H87*(D68)</f>
        <v>39.381307745121205</v>
      </c>
      <c r="R311" s="87"/>
      <c r="T311" s="87"/>
      <c r="U311" s="2"/>
      <c r="V311" s="2"/>
      <c r="W311" s="2"/>
      <c r="X311" s="2"/>
      <c r="Y311" s="2"/>
      <c r="Z311" s="2"/>
      <c r="AA311" s="87"/>
      <c r="AC311" s="87"/>
      <c r="AD311" s="2"/>
      <c r="AE311" s="2"/>
      <c r="AF311" s="2"/>
      <c r="AG311" s="2"/>
      <c r="AH311" s="2"/>
      <c r="AI311" s="2"/>
    </row>
    <row r="312" spans="1:35" x14ac:dyDescent="0.25">
      <c r="A312" s="121" t="s">
        <v>46</v>
      </c>
      <c r="C312" s="31">
        <f>C310*(0.42*(D68/3))+C311*(D68/6)</f>
        <v>15.848140988175778</v>
      </c>
      <c r="D312" s="31">
        <f>D310*(0.42*(2*D68/3))+D311*(D68/3)</f>
        <v>83.903259471829813</v>
      </c>
      <c r="E312" s="88">
        <f>E310*(0.42*(D68))+E311*D68/2</f>
        <v>234.93139872965213</v>
      </c>
      <c r="R312" s="87"/>
      <c r="T312" s="87"/>
      <c r="U312" s="2"/>
      <c r="V312" s="2"/>
      <c r="W312" s="2"/>
      <c r="X312" s="2"/>
      <c r="Y312" s="2"/>
      <c r="Z312" s="2"/>
      <c r="AA312" s="87"/>
      <c r="AC312" s="87"/>
      <c r="AD312" s="2"/>
      <c r="AE312" s="2"/>
      <c r="AF312" s="2"/>
      <c r="AG312" s="2"/>
      <c r="AH312" s="2"/>
      <c r="AI312" s="2"/>
    </row>
    <row r="313" spans="1:35" ht="15.75" x14ac:dyDescent="0.25">
      <c r="A313" s="120" t="s">
        <v>177</v>
      </c>
      <c r="B313" s="99"/>
      <c r="C313" s="130">
        <f>ABS(ABS(M305+M306)-P300)/(M303*1000)</f>
        <v>1.9905396007659365E-2</v>
      </c>
      <c r="D313" s="130">
        <f>ABS(ABS(N305+N306)-Q300)/(N303*1000)</f>
        <v>4.5036696410987925E-2</v>
      </c>
      <c r="E313" s="131">
        <f>ABS(ABS(O305+O306)-R300)/(O303*1000)</f>
        <v>6.8264781346876843E-2</v>
      </c>
      <c r="U313" s="54"/>
      <c r="V313" s="54"/>
      <c r="W313" s="54"/>
      <c r="X313" s="54"/>
      <c r="Y313" s="54"/>
      <c r="Z313" s="54"/>
    </row>
    <row r="314" spans="1:35" ht="15.75" x14ac:dyDescent="0.25">
      <c r="A314" s="121" t="s">
        <v>180</v>
      </c>
      <c r="C314" s="15">
        <f>IF(C323&lt;L196,"L",IF(C323&gt;L207,"E",L225))</f>
        <v>0.22273563048728134</v>
      </c>
      <c r="D314" s="15">
        <f>IF(D323&lt;L196,"L",IF(D323&gt;L207,"E",U225))</f>
        <v>0.41599540130422846</v>
      </c>
      <c r="E314" s="104">
        <f>AD225</f>
        <v>0.36841334665691106</v>
      </c>
      <c r="U314" s="54"/>
      <c r="V314" s="54"/>
      <c r="W314" s="54"/>
      <c r="X314" s="54"/>
      <c r="Y314" s="54"/>
      <c r="Z314" s="54"/>
    </row>
    <row r="315" spans="1:35" x14ac:dyDescent="0.25">
      <c r="A315" s="122" t="s">
        <v>126</v>
      </c>
      <c r="B315" s="111"/>
      <c r="C315" s="132" t="str">
        <f>IF(C314&gt;C313,"Safe","Unsafe")</f>
        <v>Safe</v>
      </c>
      <c r="D315" s="132" t="str">
        <f>IF(D314&gt;D313,"Safe","Unsafe")</f>
        <v>Safe</v>
      </c>
      <c r="E315" s="133" t="str">
        <f>IF(E314&gt;E313,"Safe","Unsafe")</f>
        <v>Safe</v>
      </c>
      <c r="R315" s="87"/>
      <c r="T315" s="87"/>
      <c r="U315" s="2"/>
      <c r="V315" s="2"/>
      <c r="W315" s="2"/>
      <c r="X315" s="2"/>
      <c r="Y315" s="2"/>
      <c r="Z315" s="2"/>
      <c r="AA315" s="87"/>
      <c r="AC315" s="87"/>
      <c r="AD315" s="2"/>
      <c r="AE315" s="2"/>
      <c r="AF315" s="2"/>
      <c r="AG315" s="2"/>
      <c r="AH315" s="2"/>
      <c r="AI315" s="2"/>
    </row>
    <row r="316" spans="1:35" x14ac:dyDescent="0.25">
      <c r="A316" s="120" t="s">
        <v>117</v>
      </c>
      <c r="B316" s="99"/>
      <c r="C316" s="123">
        <f>SQRT(ABS(C312)*1000/F294)</f>
        <v>103.42869605200799</v>
      </c>
      <c r="D316" s="123">
        <f>SQRT(ABS(D312)*1000/F294)</f>
        <v>237.98046168432637</v>
      </c>
      <c r="E316" s="124">
        <f>SQRT(ABS(E312)*1000/F294)</f>
        <v>398.21940452784975</v>
      </c>
      <c r="R316" s="87"/>
      <c r="T316" s="87"/>
      <c r="U316" s="2"/>
      <c r="V316" s="2"/>
      <c r="W316" s="2"/>
      <c r="X316" s="2"/>
      <c r="Y316" s="2"/>
      <c r="Z316" s="2"/>
      <c r="AA316" s="87"/>
      <c r="AC316" s="87"/>
      <c r="AD316" s="2"/>
      <c r="AE316" s="2"/>
      <c r="AF316" s="2"/>
      <c r="AG316" s="2"/>
      <c r="AH316" s="2"/>
      <c r="AI316" s="2"/>
    </row>
    <row r="317" spans="1:35" x14ac:dyDescent="0.25">
      <c r="A317" s="121" t="s">
        <v>118</v>
      </c>
      <c r="C317" s="113">
        <f>(AVERAGE(D65,((D68/3)*D67/D68+D65+(D68/3)*D66/D68))-K81-M81/2000)*1000</f>
        <v>593.66666666666652</v>
      </c>
      <c r="D317" s="113">
        <f>(AVERAGE(((D68/3)*D67/D68+D65+(D68/3)*D66/D68),((2*D68/3)*D67/D68+D65+(2*D68/3)*D66/D68))-K82-M82/2000)*1000</f>
        <v>968.99999999999989</v>
      </c>
      <c r="E317" s="125">
        <f>(AVERAGE(((2*D68/3)*D67/D68+D65+(2*D68/3)*D66/D68),D75)-K83-M83/2000)*1000</f>
        <v>1352.3333333333333</v>
      </c>
    </row>
    <row r="318" spans="1:35" x14ac:dyDescent="0.25">
      <c r="A318" s="122" t="s">
        <v>126</v>
      </c>
      <c r="B318" s="111"/>
      <c r="C318" s="126" t="str">
        <f>IF(C317&gt;C316,"Safe","Unsafe")</f>
        <v>Safe</v>
      </c>
      <c r="D318" s="126" t="str">
        <f>IF(D317&gt;D316,"Safe","Unsafe")</f>
        <v>Safe</v>
      </c>
      <c r="E318" s="127" t="str">
        <f>IF(E317&gt;E316,"Safe","Unsafe")</f>
        <v>Safe</v>
      </c>
    </row>
    <row r="319" spans="1:35" ht="15.75" x14ac:dyDescent="0.25">
      <c r="A319" s="120" t="s">
        <v>119</v>
      </c>
      <c r="B319" s="99"/>
      <c r="C319" s="123">
        <f>ABS(C312)*1000000/F291/F293/C317</f>
        <v>150.16135832423711</v>
      </c>
      <c r="D319" s="123">
        <f>ABS(D312)*1000000/F291/F293/D317</f>
        <v>487.05452479777381</v>
      </c>
      <c r="E319" s="124">
        <f>ABS(E312)*1000000/F291/F293/E317</f>
        <v>977.19185446459937</v>
      </c>
      <c r="H319" s="2"/>
      <c r="U319" s="71"/>
      <c r="V319" s="6"/>
      <c r="Y319" s="72"/>
      <c r="AD319" s="71"/>
      <c r="AE319" s="6"/>
      <c r="AH319" s="72"/>
    </row>
    <row r="320" spans="1:35" ht="15.75" x14ac:dyDescent="0.25">
      <c r="A320" s="121" t="s">
        <v>129</v>
      </c>
      <c r="C320" s="113">
        <f>(PI()*B90*B90/4+PI()*C90*C90/4)*1000/D90</f>
        <v>1340.4128655316449</v>
      </c>
      <c r="D320" s="113">
        <f>(PI()*B91*B91/4+PI()*C91*C91/4)*1000/D91</f>
        <v>10053.096491487337</v>
      </c>
      <c r="E320" s="125">
        <f>(PI()*B92*B92/4+PI()*C92*C92/4)*1000/D92</f>
        <v>10053.096491487337</v>
      </c>
      <c r="H320" s="2"/>
      <c r="U320" s="68"/>
      <c r="Y320" s="2"/>
      <c r="AD320" s="68"/>
      <c r="AH320" s="2"/>
    </row>
    <row r="321" spans="1:27" x14ac:dyDescent="0.25">
      <c r="A321" s="122" t="s">
        <v>126</v>
      </c>
      <c r="B321" s="111"/>
      <c r="C321" s="126" t="str">
        <f>IF(C320&gt;C319,"Safe","Unsafe")</f>
        <v>Safe</v>
      </c>
      <c r="D321" s="126" t="str">
        <f>IF(D320&gt;D319,"Safe","Unsafe")</f>
        <v>Safe</v>
      </c>
      <c r="E321" s="127" t="str">
        <f>IF(E320&gt;E319,"Safe","Unsafe")</f>
        <v>Safe</v>
      </c>
    </row>
    <row r="322" spans="1:27" x14ac:dyDescent="0.25">
      <c r="A322" s="120" t="s">
        <v>124</v>
      </c>
      <c r="B322" s="99"/>
      <c r="C322" s="123">
        <f>(PI()*B90*B90/4+PI()*C90*C90/4)*1000/C319</f>
        <v>2677.9450062725482</v>
      </c>
      <c r="D322" s="123">
        <f>(PI()*B91*B91/4+PI()*C91*C91/4)*1000/D319</f>
        <v>3302.4956277858728</v>
      </c>
      <c r="E322" s="124">
        <f>(PI()*B92*B92/4+PI()*C92*C92/4)*1000/E319</f>
        <v>1646.038524870087</v>
      </c>
      <c r="P322" s="54"/>
      <c r="Q322" s="54"/>
      <c r="T322" s="86"/>
      <c r="U322" s="54"/>
      <c r="V322" s="54"/>
      <c r="W322" s="54"/>
      <c r="X322" s="54"/>
      <c r="Y322" s="54"/>
      <c r="Z322" s="54"/>
    </row>
    <row r="323" spans="1:27" x14ac:dyDescent="0.25">
      <c r="A323" s="121" t="s">
        <v>173</v>
      </c>
      <c r="C323" s="15">
        <f>C320*100/(C317*1000)</f>
        <v>0.22578543495760445</v>
      </c>
      <c r="D323" s="15">
        <f>D320*100/(D317*1000)</f>
        <v>1.037471258151428</v>
      </c>
      <c r="E323" s="104">
        <f>E320*100/(E317*1000)</f>
        <v>0.74338894440379621</v>
      </c>
      <c r="P323" s="54"/>
      <c r="Q323" s="54"/>
      <c r="U323" s="54"/>
      <c r="V323" s="54"/>
      <c r="W323" s="54"/>
      <c r="X323" s="54"/>
      <c r="Y323" s="54"/>
      <c r="Z323" s="54"/>
    </row>
    <row r="324" spans="1:27" ht="15" customHeight="1" x14ac:dyDescent="0.25">
      <c r="A324" s="122" t="s">
        <v>126</v>
      </c>
      <c r="B324" s="111"/>
      <c r="C324" s="128" t="str">
        <f>IF(C323&lt;0.15,"N.G","Ok")</f>
        <v>Ok</v>
      </c>
      <c r="D324" s="128" t="str">
        <f>IF(D323&lt;0.15,"N.G","Ok")</f>
        <v>Ok</v>
      </c>
      <c r="E324" s="129" t="str">
        <f>IF(E323&lt;0.15,"N.G","Ok")</f>
        <v>Ok</v>
      </c>
      <c r="P324" s="54"/>
      <c r="Q324" s="54"/>
      <c r="U324" s="54"/>
      <c r="V324" s="54"/>
      <c r="W324" s="54"/>
      <c r="X324" s="54"/>
      <c r="Y324" s="54"/>
      <c r="Z324" s="54"/>
    </row>
    <row r="325" spans="1:27" ht="15" customHeight="1" x14ac:dyDescent="0.25">
      <c r="K325" s="97" t="s">
        <v>178</v>
      </c>
      <c r="L325" s="47"/>
      <c r="M325" s="47"/>
      <c r="N325" s="47"/>
      <c r="O325" s="46"/>
      <c r="P325" s="2"/>
      <c r="Q325" s="2"/>
      <c r="R325" s="238"/>
      <c r="U325" s="54"/>
      <c r="V325" s="54"/>
      <c r="W325" s="54"/>
      <c r="X325" s="54"/>
      <c r="Y325" s="54"/>
      <c r="Z325" s="54"/>
    </row>
    <row r="326" spans="1:27" ht="15" customHeight="1" x14ac:dyDescent="0.25">
      <c r="A326" s="1" t="s">
        <v>133</v>
      </c>
      <c r="K326" s="98"/>
      <c r="L326" s="50"/>
      <c r="M326" s="50" t="s">
        <v>113</v>
      </c>
      <c r="N326" s="50" t="s">
        <v>114</v>
      </c>
      <c r="O326" s="51" t="s">
        <v>134</v>
      </c>
      <c r="P326" s="2"/>
      <c r="Q326" s="2"/>
      <c r="U326" s="54"/>
      <c r="V326" s="54"/>
      <c r="W326" s="54"/>
      <c r="X326" s="54"/>
      <c r="Y326" s="54"/>
      <c r="Z326" s="54"/>
    </row>
    <row r="327" spans="1:27" ht="15" customHeight="1" x14ac:dyDescent="0.25">
      <c r="A327" s="38"/>
      <c r="B327" s="81"/>
      <c r="C327" s="57" t="s">
        <v>113</v>
      </c>
      <c r="D327" s="57" t="s">
        <v>114</v>
      </c>
      <c r="E327" s="36" t="s">
        <v>134</v>
      </c>
      <c r="K327" s="97" t="s">
        <v>203</v>
      </c>
      <c r="L327" s="47"/>
      <c r="M327" s="101">
        <f>H66-(I93+MAX(B94,C94)/2000)/COS(PI()*H70/180)</f>
        <v>1.0080423938854755</v>
      </c>
      <c r="N327" s="101">
        <f>(H66+H65)/2-(I93+MAX(B93,C93)/2000)/COS(PI()*H70/180)</f>
        <v>0.61157922488988026</v>
      </c>
      <c r="O327" s="46"/>
      <c r="P327" s="2"/>
      <c r="Q327" s="2"/>
      <c r="R327" s="239"/>
      <c r="U327" s="54"/>
      <c r="V327" s="54"/>
      <c r="W327" s="54"/>
      <c r="X327" s="54"/>
      <c r="Y327" s="54"/>
      <c r="Z327" s="54"/>
    </row>
    <row r="328" spans="1:27" ht="15" customHeight="1" x14ac:dyDescent="0.25">
      <c r="A328" s="120" t="s">
        <v>115</v>
      </c>
      <c r="B328" s="99"/>
      <c r="C328" s="108">
        <f>(H63+D75)*(D254-D250)/H67+D250</f>
        <v>-91.716818181818198</v>
      </c>
      <c r="D328" s="108">
        <f>(H67-H64/2)*(D254-D250)/H67+D250</f>
        <v>-123.38977066115699</v>
      </c>
      <c r="E328" s="109">
        <f>D254</f>
        <v>-155.06272314049579</v>
      </c>
      <c r="K328" s="78" t="s">
        <v>204</v>
      </c>
      <c r="L328" s="54"/>
      <c r="M328" s="100">
        <f>H64-M327/(1+TAN(PI()*H70/180))</f>
        <v>4.6199629894650611</v>
      </c>
      <c r="N328" s="100">
        <f>(H64/2)-N327/(1+TAN(PI()*H70/180))</f>
        <v>2.2160816290643903</v>
      </c>
      <c r="O328" s="102"/>
      <c r="P328" s="2"/>
      <c r="Q328" s="2"/>
      <c r="U328" s="54"/>
      <c r="V328" s="54"/>
      <c r="W328" s="54"/>
      <c r="X328" s="54"/>
      <c r="Y328" s="54"/>
      <c r="Z328" s="54"/>
    </row>
    <row r="329" spans="1:27" ht="15" customHeight="1" x14ac:dyDescent="0.25">
      <c r="A329" s="121" t="s">
        <v>135</v>
      </c>
      <c r="C329" s="31">
        <f>C328*H64*H64/2+0.5*(D254-C328)*H64*H64*2/3</f>
        <v>-2025.9547499999994</v>
      </c>
      <c r="D329" s="31">
        <f>(D328*(H64/2)*(H64/4)+(0.5*(H64/2)*(E328-D328))*((H64/2)*(2/3)))</f>
        <v>-546.40980468749979</v>
      </c>
      <c r="E329" s="67">
        <v>0</v>
      </c>
      <c r="K329" s="78" t="s">
        <v>212</v>
      </c>
      <c r="M329" s="134">
        <f>(M328*(H66-H65)/H64+H65)-((I93+MAX(B94,C94)/2000)/COS(PI()*H70/180))</f>
        <v>0.88003701053493888</v>
      </c>
      <c r="N329" s="253">
        <f>(N328*(H66-H65)/(H64)+H65)-((I93+MAX(B94,C94)/2000)/COS(PI()*H70/180))</f>
        <v>0.53038153993120485</v>
      </c>
      <c r="O329" s="102"/>
      <c r="P329" s="54"/>
      <c r="Q329" s="54"/>
      <c r="U329" s="54"/>
      <c r="V329" s="54"/>
      <c r="W329" s="54"/>
      <c r="X329" s="54"/>
      <c r="Y329" s="54"/>
      <c r="Z329" s="54"/>
    </row>
    <row r="330" spans="1:27" ht="15" customHeight="1" x14ac:dyDescent="0.25">
      <c r="A330" s="121" t="s">
        <v>136</v>
      </c>
      <c r="C330" s="31">
        <f>B129*H64/2+H87*H64*D78*H64/2+H65*H64*D87*H64/2+F122*H64/3+B130*2*H64/3</f>
        <v>2011.625</v>
      </c>
      <c r="D330" s="31">
        <f>((H87*(H64/2)*D78*(H64/4))+(D68*H63*D78*H63/2)+(((H66-H65)/2)*(H64/2)*D78*(H64/4)+0.5*((H66-H65)/2)*(H64/2)*D78*(H64/3))+(0.5*((H66-H65)/2)*(H64/2)*D87*(H64/6))+((H64/2)*H65*D87*(H64/4)))</f>
        <v>837.13599999999997</v>
      </c>
      <c r="E330" s="67"/>
      <c r="K330" s="78" t="s">
        <v>205</v>
      </c>
      <c r="L330" s="54"/>
      <c r="M330" s="100">
        <f>H87*M328*D78</f>
        <v>99.791200572445305</v>
      </c>
      <c r="N330" s="100">
        <f>H87*N328*D78</f>
        <v>47.867363187790829</v>
      </c>
      <c r="O330" s="102"/>
      <c r="P330" s="54"/>
      <c r="Q330" s="54"/>
      <c r="U330" s="54"/>
      <c r="V330" s="54"/>
      <c r="W330" s="54"/>
      <c r="X330" s="54"/>
      <c r="Y330" s="54"/>
      <c r="Z330" s="54"/>
    </row>
    <row r="331" spans="1:27" ht="15" customHeight="1" x14ac:dyDescent="0.25">
      <c r="A331" s="122" t="s">
        <v>137</v>
      </c>
      <c r="B331" s="111"/>
      <c r="C331" s="79">
        <f>C330+C329</f>
        <v>-14.329749999999422</v>
      </c>
      <c r="D331" s="79">
        <f>D330+D329</f>
        <v>290.72619531250018</v>
      </c>
      <c r="E331" s="63"/>
      <c r="K331" s="78" t="s">
        <v>192</v>
      </c>
      <c r="L331" s="54"/>
      <c r="M331" s="100">
        <f>M328*D68*D78</f>
        <v>407.48073567081843</v>
      </c>
      <c r="N331" s="100">
        <f>N328*D68*D78</f>
        <v>195.45839968347926</v>
      </c>
      <c r="O331" s="102"/>
      <c r="P331" s="2"/>
      <c r="Q331" s="2"/>
      <c r="U331" s="54"/>
      <c r="V331" s="54"/>
      <c r="W331" s="54"/>
      <c r="X331" s="54"/>
      <c r="Y331" s="54"/>
      <c r="Z331" s="54"/>
    </row>
    <row r="332" spans="1:27" ht="15" customHeight="1" x14ac:dyDescent="0.25">
      <c r="A332" s="120" t="s">
        <v>177</v>
      </c>
      <c r="B332" s="99"/>
      <c r="C332" s="130">
        <f>ABS(ABS(M337)-0)/(M329*1000)</f>
        <v>2.1866854988655964E-2</v>
      </c>
      <c r="D332" s="130">
        <f>ABS(ABS(N337)-0)/(N329*1000)</f>
        <v>3.2260256675878327E-2</v>
      </c>
      <c r="E332" s="48"/>
      <c r="K332" s="78" t="s">
        <v>209</v>
      </c>
      <c r="L332" s="54"/>
      <c r="M332" s="100">
        <f>M327*(H66-H65)/H64</f>
        <v>0.1466243482015237</v>
      </c>
      <c r="N332" s="100">
        <f>N327*(H66-H65)/(H64/2)</f>
        <v>0.17791395633160154</v>
      </c>
      <c r="O332" s="102"/>
      <c r="P332" s="2"/>
      <c r="Q332" s="2"/>
      <c r="R332" s="87"/>
      <c r="T332" s="87"/>
      <c r="U332" s="2"/>
      <c r="V332" s="2"/>
      <c r="W332" s="2"/>
      <c r="X332" s="2"/>
      <c r="Y332" s="2"/>
      <c r="Z332" s="2"/>
      <c r="AA332" s="87"/>
    </row>
    <row r="333" spans="1:27" ht="15" customHeight="1" x14ac:dyDescent="0.25">
      <c r="A333" s="121" t="s">
        <v>180</v>
      </c>
      <c r="C333" s="15">
        <f>IF(C343&lt;L196,"L",IF(C343&gt;L207,"E",AM225))</f>
        <v>0.37791324162393991</v>
      </c>
      <c r="D333" s="15">
        <f>IF(D343&lt;L196,"L",IF(D343&gt;L207,"E",AV225))</f>
        <v>0.41120651958075699</v>
      </c>
      <c r="E333" s="114"/>
      <c r="K333" s="78" t="s">
        <v>206</v>
      </c>
      <c r="L333" s="54"/>
      <c r="M333" s="100">
        <f>0.5*(M332+(H66-H65))*M328*D78</f>
        <v>39.360325082557743</v>
      </c>
      <c r="N333" s="100">
        <f>0.5*(N332+(H66-H65))*N328*D78</f>
        <v>19.504234380889251</v>
      </c>
      <c r="O333" s="102"/>
      <c r="R333" s="87"/>
      <c r="T333" s="87"/>
      <c r="U333" s="2"/>
      <c r="V333" s="2"/>
      <c r="W333" s="2"/>
      <c r="X333" s="2"/>
      <c r="Y333" s="2"/>
      <c r="Z333" s="2"/>
      <c r="AA333" s="87"/>
    </row>
    <row r="334" spans="1:27" ht="15" customHeight="1" x14ac:dyDescent="0.25">
      <c r="A334" s="122" t="s">
        <v>126</v>
      </c>
      <c r="B334" s="111"/>
      <c r="C334" s="132" t="str">
        <f>IF(C333&gt;C332,"Safe","Unsafe")</f>
        <v>Safe</v>
      </c>
      <c r="D334" s="132" t="str">
        <f>IF(D333&gt;D332,"Safe","Unsafe")</f>
        <v>Safe</v>
      </c>
      <c r="E334" s="116"/>
      <c r="K334" s="78" t="s">
        <v>207</v>
      </c>
      <c r="L334" s="54"/>
      <c r="M334" s="100">
        <f>0.5*(H65+(H66-M332))*M328*D87</f>
        <v>69.486589478467309</v>
      </c>
      <c r="N334" s="100">
        <f>0.5*(H65+(H66-N332))*N328*D87</f>
        <v>32.498909166114245</v>
      </c>
      <c r="O334" s="102"/>
      <c r="R334" s="87"/>
      <c r="T334" s="87"/>
      <c r="U334" s="2"/>
      <c r="V334" s="2"/>
      <c r="W334" s="2"/>
      <c r="X334" s="2"/>
      <c r="Y334" s="2"/>
      <c r="Z334" s="2"/>
      <c r="AA334" s="87"/>
    </row>
    <row r="335" spans="1:27" ht="15" customHeight="1" x14ac:dyDescent="0.25">
      <c r="A335" s="28"/>
      <c r="K335" s="78" t="s">
        <v>208</v>
      </c>
      <c r="L335" s="54"/>
      <c r="M335" s="100">
        <f>M327*(E328-C328)/H64+C328</f>
        <v>-103.32688321407041</v>
      </c>
      <c r="N335" s="31">
        <f>N327*(E328-D328)/H64+D328</f>
        <v>-126.91168333884572</v>
      </c>
      <c r="O335" s="67"/>
      <c r="P335" s="72"/>
      <c r="U335" s="54"/>
      <c r="V335" s="54"/>
      <c r="W335" s="54"/>
      <c r="X335" s="54"/>
      <c r="Y335" s="54"/>
      <c r="Z335" s="54"/>
    </row>
    <row r="336" spans="1:27" ht="15" customHeight="1" x14ac:dyDescent="0.25">
      <c r="A336" s="120" t="s">
        <v>117</v>
      </c>
      <c r="B336" s="99"/>
      <c r="C336" s="123">
        <f>SQRT(ABS(C331)*1000/F294)</f>
        <v>98.349281898749069</v>
      </c>
      <c r="D336" s="123">
        <f>SQRT(ABS(D331)*1000/F294)</f>
        <v>442.99004710708533</v>
      </c>
      <c r="E336" s="48"/>
      <c r="K336" s="78" t="s">
        <v>210</v>
      </c>
      <c r="L336" s="2"/>
      <c r="M336" s="31">
        <f>0.5*(M335+E328)*M328</f>
        <v>-596.87520911027093</v>
      </c>
      <c r="N336" s="31">
        <f>0.5*(N335+E328)*N328</f>
        <v>-312.43915103260184</v>
      </c>
      <c r="O336" s="67"/>
      <c r="P336" s="2"/>
      <c r="Q336" t="s">
        <v>250</v>
      </c>
      <c r="R336" t="s">
        <v>250</v>
      </c>
      <c r="U336" s="54"/>
      <c r="V336" s="54"/>
      <c r="W336" s="54"/>
      <c r="X336" s="54"/>
      <c r="Y336" s="54"/>
      <c r="Z336" s="54"/>
    </row>
    <row r="337" spans="1:27" ht="15" customHeight="1" x14ac:dyDescent="0.25">
      <c r="A337" s="121" t="s">
        <v>118</v>
      </c>
      <c r="C337" s="2">
        <f>(H66-K91-M91/2000)*1000</f>
        <v>1012.5000000000002</v>
      </c>
      <c r="D337" s="2">
        <f>((H66+H65)/2-K92-M92/2000)*1000</f>
        <v>609.00000000000011</v>
      </c>
      <c r="E337" s="114"/>
      <c r="K337" s="96" t="s">
        <v>211</v>
      </c>
      <c r="L337" s="62"/>
      <c r="M337" s="79">
        <f>M330+M331+M333+M334+M336</f>
        <v>19.243641694017811</v>
      </c>
      <c r="N337" s="79">
        <f>N330+N331+N333+N334+N336</f>
        <v>-17.11024461432828</v>
      </c>
      <c r="O337" s="63"/>
      <c r="Q337" s="2">
        <f>C331*TAN(PI()*H70/180)/M329</f>
        <v>-2.3684541079246313</v>
      </c>
      <c r="R337" s="2">
        <f>D331*TAN(PI()*H70/180)/N329</f>
        <v>79.730238341994635</v>
      </c>
      <c r="U337" s="54"/>
      <c r="V337" s="54"/>
      <c r="W337" s="54"/>
      <c r="X337" s="54"/>
      <c r="Y337" s="54"/>
      <c r="Z337" s="54"/>
    </row>
    <row r="338" spans="1:27" ht="15" customHeight="1" x14ac:dyDescent="0.25">
      <c r="A338" s="122" t="s">
        <v>126</v>
      </c>
      <c r="B338" s="111"/>
      <c r="C338" s="126" t="str">
        <f>IF(C337&gt;C336,"Safe","Unsafe")</f>
        <v>Safe</v>
      </c>
      <c r="D338" s="126" t="str">
        <f>IF(D337&gt;D336,"Safe","Unsafe")</f>
        <v>Safe</v>
      </c>
      <c r="E338" s="116"/>
      <c r="P338" s="54"/>
      <c r="Q338" s="54"/>
      <c r="U338" s="54"/>
      <c r="V338" s="54"/>
      <c r="W338" s="54"/>
      <c r="X338" s="54"/>
      <c r="Y338" s="54"/>
      <c r="Z338" s="54"/>
    </row>
    <row r="339" spans="1:27" ht="15" customHeight="1" x14ac:dyDescent="0.25">
      <c r="A339" s="120" t="s">
        <v>119</v>
      </c>
      <c r="B339" s="99"/>
      <c r="C339" s="123">
        <f>ABS(C331)*1000000/F291/F293/C337</f>
        <v>79.609722222218991</v>
      </c>
      <c r="D339" s="123">
        <f>ABS(D331)*1000000/F291/F293/D337</f>
        <v>2685.2788975908265</v>
      </c>
      <c r="E339" s="48"/>
      <c r="P339" s="2"/>
      <c r="Q339" s="2"/>
      <c r="R339" s="2"/>
      <c r="U339" s="2"/>
      <c r="V339" s="2"/>
      <c r="W339" s="2"/>
      <c r="X339" s="2"/>
      <c r="Y339" s="2"/>
      <c r="Z339" s="2"/>
      <c r="AA339" s="2"/>
    </row>
    <row r="340" spans="1:27" ht="15" customHeight="1" x14ac:dyDescent="0.25">
      <c r="A340" s="121" t="s">
        <v>129</v>
      </c>
      <c r="C340" s="113">
        <f>(PI()*B94*B94/4+PI()*C94*C94/4)*1000/D94</f>
        <v>8094.509821514951</v>
      </c>
      <c r="D340" s="113">
        <f>(PI()*B93*B93/4+PI()*C93*C93/4)*1000/D93</f>
        <v>6135.9231515425654</v>
      </c>
      <c r="E340" s="114"/>
      <c r="K340" s="97" t="s">
        <v>178</v>
      </c>
      <c r="L340" s="47"/>
      <c r="M340" s="60"/>
      <c r="P340" s="2"/>
      <c r="Q340" s="2"/>
      <c r="R340" s="87"/>
      <c r="T340" s="87"/>
      <c r="U340" s="2"/>
      <c r="V340" s="2"/>
      <c r="W340" s="2"/>
      <c r="X340" s="2"/>
      <c r="Y340" s="2"/>
      <c r="Z340" s="2"/>
      <c r="AA340" s="87"/>
    </row>
    <row r="341" spans="1:27" ht="15" customHeight="1" x14ac:dyDescent="0.25">
      <c r="A341" s="122" t="s">
        <v>126</v>
      </c>
      <c r="B341" s="111"/>
      <c r="C341" s="126" t="str">
        <f>IF(C340&gt;C339,"Safe","Unsafe")</f>
        <v>Safe</v>
      </c>
      <c r="D341" s="126" t="str">
        <f>IF(D340&gt;D339,"Safe","Unsafe")</f>
        <v>Safe</v>
      </c>
      <c r="E341" s="116"/>
      <c r="K341" s="98"/>
      <c r="L341" s="50"/>
      <c r="M341" s="63"/>
      <c r="P341" s="2"/>
      <c r="Q341" s="2"/>
      <c r="R341" s="87"/>
      <c r="T341" s="87"/>
      <c r="U341" s="31"/>
      <c r="V341" s="2"/>
      <c r="W341" s="2"/>
      <c r="X341" s="2"/>
      <c r="Y341" s="2"/>
      <c r="Z341" s="2"/>
      <c r="AA341" s="87"/>
    </row>
    <row r="342" spans="1:27" ht="15" customHeight="1" x14ac:dyDescent="0.25">
      <c r="A342" s="120" t="s">
        <v>124</v>
      </c>
      <c r="B342" s="99"/>
      <c r="C342" s="123">
        <f>(PI()*M91*M91/4+PI()*N91*N91/4)*1000/C339</f>
        <v>12332.007659898676</v>
      </c>
      <c r="D342" s="123">
        <f>(PI()*M91*M91/4+PI()*N91*N91/4)*1000/D339</f>
        <v>365.60362691846012</v>
      </c>
      <c r="E342" s="48"/>
      <c r="K342" s="97" t="s">
        <v>215</v>
      </c>
      <c r="L342" s="47"/>
      <c r="M342" s="88">
        <f>H66-(I95+MAX(B95,C95)/2000)</f>
        <v>1.0090000000000001</v>
      </c>
      <c r="N342" s="2"/>
      <c r="O342" s="2"/>
      <c r="P342" s="2"/>
      <c r="Q342" s="2"/>
      <c r="R342" s="251"/>
      <c r="T342" s="87"/>
      <c r="U342" s="2"/>
      <c r="V342" s="2"/>
      <c r="W342" s="2"/>
      <c r="X342" s="2"/>
      <c r="Y342" s="2"/>
      <c r="Z342" s="2"/>
      <c r="AA342" s="87"/>
    </row>
    <row r="343" spans="1:27" ht="15" customHeight="1" x14ac:dyDescent="0.25">
      <c r="A343" s="121" t="s">
        <v>173</v>
      </c>
      <c r="C343" s="31">
        <f>C340*100/(C337*1000)</f>
        <v>0.79945776014962455</v>
      </c>
      <c r="D343" s="31">
        <f>D340*100/(D337*1000)</f>
        <v>1.0075407473797313</v>
      </c>
      <c r="E343" s="114"/>
      <c r="K343" s="78" t="s">
        <v>204</v>
      </c>
      <c r="L343" s="54"/>
      <c r="M343" s="88">
        <f>H63-M342</f>
        <v>2.891</v>
      </c>
      <c r="N343" s="2"/>
      <c r="O343" s="2"/>
      <c r="P343" s="2"/>
      <c r="Q343" s="2"/>
      <c r="R343" s="87"/>
      <c r="T343" s="87"/>
      <c r="U343" s="2"/>
      <c r="V343" s="2"/>
      <c r="W343" s="2"/>
      <c r="X343" s="2"/>
      <c r="Y343" s="2"/>
      <c r="Z343" s="2"/>
      <c r="AA343" s="87"/>
    </row>
    <row r="344" spans="1:27" ht="15" customHeight="1" x14ac:dyDescent="0.25">
      <c r="A344" s="122" t="s">
        <v>126</v>
      </c>
      <c r="B344" s="111"/>
      <c r="C344" s="128" t="str">
        <f>IF(C343&lt;0.15,"N.G","Ok")</f>
        <v>Ok</v>
      </c>
      <c r="D344" s="128" t="str">
        <f>IF(D343&lt;0.15,"N.G","Ok")</f>
        <v>Ok</v>
      </c>
      <c r="E344" s="116"/>
      <c r="K344" s="78" t="s">
        <v>212</v>
      </c>
      <c r="M344" s="104">
        <f>(M343*(H66-H65)/H63+H65)-(I95+MAX(B95,C95)/2000)</f>
        <v>0.802025641025641</v>
      </c>
      <c r="N344" s="2"/>
      <c r="O344" s="2"/>
      <c r="P344" s="2"/>
      <c r="Q344" s="2"/>
      <c r="R344" s="87"/>
      <c r="T344" s="87"/>
      <c r="U344" s="2"/>
      <c r="V344" s="2"/>
      <c r="W344" s="2"/>
      <c r="X344" s="2"/>
      <c r="Y344" s="2"/>
      <c r="Z344" s="2"/>
      <c r="AA344" s="87"/>
    </row>
    <row r="345" spans="1:27" ht="15" customHeight="1" x14ac:dyDescent="0.25">
      <c r="K345" s="78" t="s">
        <v>207</v>
      </c>
      <c r="L345" s="54"/>
      <c r="M345" s="88">
        <f>0.5*(H65+(H65+(H66-H65)*M343/H63)*M343*D87)</f>
        <v>31.130845538461536</v>
      </c>
      <c r="N345" s="2"/>
      <c r="O345" s="2"/>
      <c r="P345" s="2"/>
      <c r="Q345" s="2"/>
      <c r="R345" s="87"/>
      <c r="T345" s="87"/>
      <c r="U345" s="2"/>
      <c r="V345" s="2"/>
      <c r="W345" s="2"/>
      <c r="X345" s="2"/>
      <c r="Y345" s="2"/>
      <c r="Z345" s="2"/>
      <c r="AA345" s="87"/>
    </row>
    <row r="346" spans="1:27" ht="15" customHeight="1" x14ac:dyDescent="0.25">
      <c r="A346" s="1" t="s">
        <v>138</v>
      </c>
      <c r="K346" s="78" t="s">
        <v>208</v>
      </c>
      <c r="L346" s="54"/>
      <c r="M346" s="105">
        <f>(D347-D250)*M343/H63+D250</f>
        <v>-61.66782435687459</v>
      </c>
      <c r="N346" s="2"/>
      <c r="O346" s="2"/>
      <c r="P346" s="2"/>
      <c r="Q346" s="2"/>
      <c r="R346" s="87"/>
      <c r="T346" s="87"/>
      <c r="U346" s="2"/>
      <c r="V346" s="2"/>
      <c r="W346" s="2"/>
      <c r="X346" s="2"/>
      <c r="Y346" s="2"/>
      <c r="Z346" s="2"/>
      <c r="AA346" s="87"/>
    </row>
    <row r="347" spans="1:27" ht="15" customHeight="1" x14ac:dyDescent="0.25">
      <c r="A347" s="120" t="s">
        <v>194</v>
      </c>
      <c r="B347" s="99"/>
      <c r="C347" s="99"/>
      <c r="D347" s="108">
        <f>H63*(D254-D250)/H67+D250</f>
        <v>-73.288918557475625</v>
      </c>
      <c r="E347" s="48"/>
      <c r="K347" s="78" t="s">
        <v>210</v>
      </c>
      <c r="L347" s="2"/>
      <c r="M347" s="105">
        <f>0.5*(M346+D250)*M343</f>
        <v>-130.15099517191194</v>
      </c>
      <c r="N347" s="2"/>
      <c r="O347" s="2" t="s">
        <v>250</v>
      </c>
      <c r="P347" s="2"/>
      <c r="Q347" s="2"/>
      <c r="R347" s="87"/>
      <c r="T347" s="87"/>
      <c r="U347" s="2"/>
      <c r="V347" s="2"/>
      <c r="W347" s="2"/>
      <c r="X347" s="2"/>
      <c r="Y347" s="2"/>
      <c r="Z347" s="2"/>
      <c r="AA347" s="87"/>
    </row>
    <row r="348" spans="1:27" ht="15" customHeight="1" x14ac:dyDescent="0.25">
      <c r="A348" s="121" t="s">
        <v>135</v>
      </c>
      <c r="D348" s="31">
        <f>D250*H63*(-H63/2)+0.5*H63*(D347-D250)*(-H63/3)</f>
        <v>329.62793858452352</v>
      </c>
      <c r="E348" s="114"/>
      <c r="K348" s="96" t="s">
        <v>211</v>
      </c>
      <c r="L348" s="62"/>
      <c r="M348" s="106">
        <f>M345+M347</f>
        <v>-99.020149633450416</v>
      </c>
      <c r="N348" s="2"/>
      <c r="O348" s="2">
        <f>D350*TAN(PI()*H70/180)/M344</f>
        <v>41.023388238040233</v>
      </c>
      <c r="P348" s="2"/>
      <c r="Q348" s="2"/>
      <c r="R348" s="87"/>
      <c r="T348" s="87"/>
      <c r="U348" s="2"/>
      <c r="V348" s="2"/>
      <c r="W348" s="2"/>
      <c r="X348" s="2"/>
      <c r="Y348" s="2"/>
      <c r="Z348" s="2"/>
      <c r="AA348" s="87"/>
    </row>
    <row r="349" spans="1:27" ht="15" customHeight="1" x14ac:dyDescent="0.25">
      <c r="A349" s="121" t="s">
        <v>136</v>
      </c>
      <c r="D349" s="2">
        <f>(F124*(-H63/3)+H65*H63*D87*(-H63/2))</f>
        <v>-103.428</v>
      </c>
      <c r="E349" s="114"/>
    </row>
    <row r="350" spans="1:27" ht="15" customHeight="1" x14ac:dyDescent="0.25">
      <c r="A350" s="122" t="s">
        <v>137</v>
      </c>
      <c r="B350" s="111"/>
      <c r="C350" s="111"/>
      <c r="D350" s="79">
        <f>D348+D349</f>
        <v>226.19993858452352</v>
      </c>
      <c r="E350" s="116"/>
    </row>
    <row r="351" spans="1:27" ht="15" customHeight="1" x14ac:dyDescent="0.25">
      <c r="A351" s="120" t="s">
        <v>177</v>
      </c>
      <c r="B351" s="99"/>
      <c r="C351" s="99"/>
      <c r="D351" s="130">
        <f>ABS(ABS(M348)-0)/(M344*1000)</f>
        <v>0.12346257347436192</v>
      </c>
      <c r="E351" s="48"/>
      <c r="L351" s="54"/>
      <c r="M351" s="54"/>
      <c r="N351" s="54"/>
      <c r="O351" s="54"/>
      <c r="P351" s="54"/>
      <c r="Q351" s="54"/>
    </row>
    <row r="352" spans="1:27" ht="15" customHeight="1" x14ac:dyDescent="0.25">
      <c r="A352" s="121" t="s">
        <v>180</v>
      </c>
      <c r="D352" s="134">
        <f>IF(D361&gt;2.75,"E",AM224)</f>
        <v>0.79945776014962455</v>
      </c>
      <c r="E352" s="114"/>
      <c r="L352" s="54"/>
      <c r="M352" s="54"/>
      <c r="N352" s="54"/>
      <c r="O352" s="54"/>
      <c r="P352" s="54"/>
      <c r="Q352" s="54"/>
    </row>
    <row r="353" spans="1:25" ht="15" customHeight="1" x14ac:dyDescent="0.25">
      <c r="A353" s="122" t="s">
        <v>126</v>
      </c>
      <c r="B353" s="111"/>
      <c r="C353" s="111"/>
      <c r="D353" s="132" t="str">
        <f>IF(D352&gt;D351,"Safe","Unsafe")</f>
        <v>Safe</v>
      </c>
      <c r="E353" s="116"/>
      <c r="P353" s="72"/>
      <c r="U353" s="71"/>
      <c r="V353" s="6"/>
      <c r="Y353" s="72"/>
    </row>
    <row r="354" spans="1:25" ht="15" customHeight="1" x14ac:dyDescent="0.25">
      <c r="A354" s="120" t="s">
        <v>117</v>
      </c>
      <c r="B354" s="99"/>
      <c r="C354" s="99"/>
      <c r="D354" s="123">
        <f>SQRT(ABS(D350)*1000/F294)</f>
        <v>390.74922718356515</v>
      </c>
      <c r="E354" s="48"/>
      <c r="K354" s="91" t="s">
        <v>178</v>
      </c>
      <c r="L354" s="59"/>
      <c r="M354" s="59"/>
      <c r="N354" s="59"/>
      <c r="O354" s="60"/>
      <c r="P354" s="2"/>
      <c r="U354" s="68"/>
      <c r="Y354" s="2"/>
    </row>
    <row r="355" spans="1:25" ht="15" customHeight="1" x14ac:dyDescent="0.25">
      <c r="A355" s="121" t="s">
        <v>118</v>
      </c>
      <c r="D355" s="2">
        <f>(H66-K101-M101/2000)*1000</f>
        <v>1009.0000000000001</v>
      </c>
      <c r="E355" s="114"/>
      <c r="K355" s="96"/>
      <c r="L355" s="62"/>
      <c r="M355" s="62" t="s">
        <v>113</v>
      </c>
      <c r="N355" s="62" t="s">
        <v>114</v>
      </c>
      <c r="O355" s="63" t="s">
        <v>116</v>
      </c>
    </row>
    <row r="356" spans="1:25" ht="15" customHeight="1" x14ac:dyDescent="0.25">
      <c r="A356" s="122" t="s">
        <v>126</v>
      </c>
      <c r="B356" s="111"/>
      <c r="C356" s="111"/>
      <c r="D356" s="126" t="str">
        <f>IF(D355&gt;D354,"Safe","Unsafe")</f>
        <v>Safe</v>
      </c>
      <c r="E356" s="116"/>
      <c r="K356" s="78" t="s">
        <v>198</v>
      </c>
      <c r="M356" s="31">
        <f t="shared" ref="M356:O361" si="1">M298</f>
        <v>1.6333333333333335</v>
      </c>
      <c r="N356" s="31">
        <f t="shared" si="1"/>
        <v>3.2666666666666671</v>
      </c>
      <c r="O356" s="67">
        <f t="shared" si="1"/>
        <v>4.9000000000000004</v>
      </c>
    </row>
    <row r="357" spans="1:25" ht="15" customHeight="1" x14ac:dyDescent="0.25">
      <c r="A357" s="120" t="s">
        <v>119</v>
      </c>
      <c r="B357" s="99"/>
      <c r="C357" s="99"/>
      <c r="D357" s="123">
        <f>ABS(D350)*1000000/F291/F293/D355</f>
        <v>1261.0254257065853</v>
      </c>
      <c r="E357" s="48"/>
      <c r="K357" s="92" t="s">
        <v>196</v>
      </c>
      <c r="L357" s="2"/>
      <c r="M357" s="31">
        <f>M299</f>
        <v>0.83333333333333326</v>
      </c>
      <c r="N357" s="31">
        <f t="shared" si="1"/>
        <v>1.2166666666666666</v>
      </c>
      <c r="O357" s="67">
        <f t="shared" si="1"/>
        <v>1.5999999999999999</v>
      </c>
      <c r="P357" s="54"/>
      <c r="Q357" s="54"/>
    </row>
    <row r="358" spans="1:25" ht="15" customHeight="1" x14ac:dyDescent="0.25">
      <c r="A358" s="121" t="s">
        <v>129</v>
      </c>
      <c r="D358" s="113">
        <f>(PI()*B95*B95/4+PI()*C95*C95/4)*1000/D95</f>
        <v>8094.509821514951</v>
      </c>
      <c r="E358" s="114"/>
      <c r="K358" s="93" t="s">
        <v>197</v>
      </c>
      <c r="L358" s="2"/>
      <c r="M358" s="31">
        <f>M300</f>
        <v>0.78402910306824869</v>
      </c>
      <c r="N358" s="31">
        <f t="shared" si="1"/>
        <v>1.1591450646907344</v>
      </c>
      <c r="O358" s="88">
        <f t="shared" si="1"/>
        <v>1.5424783980240677</v>
      </c>
      <c r="P358" s="54"/>
      <c r="Q358" s="54"/>
    </row>
    <row r="359" spans="1:25" ht="15" customHeight="1" x14ac:dyDescent="0.25">
      <c r="A359" s="122" t="s">
        <v>126</v>
      </c>
      <c r="B359" s="111"/>
      <c r="C359" s="111"/>
      <c r="D359" s="126" t="str">
        <f>IF(D358&gt;D357,"Safe","Unsafe")</f>
        <v>Safe</v>
      </c>
      <c r="E359" s="116"/>
      <c r="K359" s="92" t="s">
        <v>199</v>
      </c>
      <c r="L359" s="2"/>
      <c r="M359" s="31">
        <f>M301</f>
        <v>0.99833455564169404</v>
      </c>
      <c r="N359" s="31">
        <f t="shared" si="1"/>
        <v>2.3278549613799564</v>
      </c>
      <c r="O359" s="88">
        <f t="shared" si="1"/>
        <v>3.6507199751540611</v>
      </c>
      <c r="P359" s="54"/>
      <c r="Q359" s="54"/>
    </row>
    <row r="360" spans="1:25" ht="15" customHeight="1" x14ac:dyDescent="0.25">
      <c r="A360" s="120" t="s">
        <v>124</v>
      </c>
      <c r="B360" s="99"/>
      <c r="C360" s="99"/>
      <c r="D360" s="123">
        <f>(PI()*M101*M101/4+PI()*N101*N101/4)*1000/D357</f>
        <v>1027.0384284414424</v>
      </c>
      <c r="E360" s="48"/>
      <c r="K360" s="93" t="s">
        <v>200</v>
      </c>
      <c r="L360" s="2"/>
      <c r="M360" s="31">
        <f>M302</f>
        <v>0.68430300795672405</v>
      </c>
      <c r="N360" s="31">
        <f t="shared" si="1"/>
        <v>0.9963333072626428</v>
      </c>
      <c r="O360" s="88">
        <f t="shared" si="1"/>
        <v>1.3068016268218714</v>
      </c>
      <c r="P360" s="54"/>
      <c r="Q360" s="54"/>
    </row>
    <row r="361" spans="1:25" ht="15" customHeight="1" x14ac:dyDescent="0.25">
      <c r="A361" s="121" t="s">
        <v>173</v>
      </c>
      <c r="D361" s="31">
        <f>D358*100/(D355*1000)</f>
        <v>0.80223090401535679</v>
      </c>
      <c r="E361" s="114"/>
      <c r="K361" s="94" t="s">
        <v>197</v>
      </c>
      <c r="L361" s="62"/>
      <c r="M361" s="79">
        <f>M303</f>
        <v>0.63499877769163948</v>
      </c>
      <c r="N361" s="79">
        <f t="shared" si="1"/>
        <v>0.93881170528671076</v>
      </c>
      <c r="O361" s="95">
        <f t="shared" si="1"/>
        <v>1.2492800248459393</v>
      </c>
      <c r="P361" s="54"/>
      <c r="Q361" s="54"/>
    </row>
    <row r="362" spans="1:25" ht="15" customHeight="1" x14ac:dyDescent="0.25">
      <c r="A362" s="122" t="s">
        <v>126</v>
      </c>
      <c r="B362" s="111"/>
      <c r="C362" s="111"/>
      <c r="D362" s="128" t="str">
        <f>IF(D361&lt;0.15,"N.G","Ok")</f>
        <v>Ok</v>
      </c>
      <c r="E362" s="116"/>
      <c r="K362" s="87"/>
      <c r="L362" s="2"/>
      <c r="M362" s="2"/>
      <c r="N362" s="2"/>
      <c r="O362" s="2"/>
      <c r="P362" s="54"/>
      <c r="Q362" s="54"/>
    </row>
    <row r="363" spans="1:25" ht="15" customHeight="1" x14ac:dyDescent="0.25">
      <c r="K363" s="107" t="s">
        <v>192</v>
      </c>
      <c r="L363" s="99"/>
      <c r="M363" s="108">
        <f>-(0.5*C303*D78*(M359)^2)*COS(PI()*(D80+D73)/180)</f>
        <v>-2.7925363655756499</v>
      </c>
      <c r="N363" s="108">
        <f>-(0.5*C303*D78*(N359)^2)*COS(PI()*(D80+D73)/180)</f>
        <v>-15.183030537600768</v>
      </c>
      <c r="O363" s="109">
        <f>-(0.5*C303*D78*(O359)^2)*COS(PI()*(D80+D73)/180)</f>
        <v>-37.342524458798884</v>
      </c>
      <c r="P363" s="54"/>
      <c r="Q363" s="54"/>
    </row>
    <row r="364" spans="1:25" ht="15" customHeight="1" x14ac:dyDescent="0.25">
      <c r="A364" t="s">
        <v>139</v>
      </c>
      <c r="K364" s="110" t="s">
        <v>193</v>
      </c>
      <c r="M364" s="31">
        <f>-C303*D78*H87*M359</f>
        <v>-8.0236164016968132</v>
      </c>
      <c r="N364" s="31">
        <f>-C303*D78*H87*N359</f>
        <v>-18.708974004104345</v>
      </c>
      <c r="O364" s="88">
        <f>-C303*D78*H87*O359</f>
        <v>-29.340842210776188</v>
      </c>
      <c r="P364" s="54"/>
      <c r="Q364" s="54"/>
    </row>
    <row r="365" spans="1:25" ht="15" customHeight="1" x14ac:dyDescent="0.25">
      <c r="A365" s="98" t="s">
        <v>132</v>
      </c>
      <c r="K365" s="110" t="s">
        <v>216</v>
      </c>
      <c r="M365" s="31">
        <f>-(0.5*D194*D78*(M359)^2)*COS(PI()*(D80+D73)/180)</f>
        <v>0</v>
      </c>
      <c r="N365" s="31">
        <f>-(0.5*D194*D78*(N359)^2)*COS(PI()*(D80+D73)/180)</f>
        <v>0</v>
      </c>
      <c r="O365" s="88">
        <f>-(0.5*D194*D78*(O359)^2)*COS(PI()*(D80+D73)/180)</f>
        <v>0</v>
      </c>
      <c r="P365" s="54"/>
      <c r="Q365" s="54"/>
    </row>
    <row r="366" spans="1:25" ht="15" customHeight="1" x14ac:dyDescent="0.25">
      <c r="B366" s="81"/>
      <c r="C366" s="81"/>
      <c r="D366" s="81" t="s">
        <v>149</v>
      </c>
      <c r="E366" s="37"/>
      <c r="F366" s="81"/>
      <c r="G366" s="81" t="s">
        <v>150</v>
      </c>
      <c r="H366" s="81"/>
      <c r="I366" s="37"/>
      <c r="K366" s="96" t="s">
        <v>217</v>
      </c>
      <c r="L366" s="111"/>
      <c r="M366" s="79">
        <f>-D194*D78*H87*M359</f>
        <v>0</v>
      </c>
      <c r="N366" s="79">
        <f>-D194*D78*H87*N359</f>
        <v>0</v>
      </c>
      <c r="O366" s="95">
        <f>-D194*D78*H87*O359</f>
        <v>0</v>
      </c>
      <c r="P366" s="54"/>
      <c r="Q366" s="54"/>
    </row>
    <row r="367" spans="1:25" ht="15" customHeight="1" x14ac:dyDescent="0.25">
      <c r="A367" s="97"/>
      <c r="B367" s="99"/>
      <c r="C367" s="59" t="s">
        <v>113</v>
      </c>
      <c r="D367" s="59" t="s">
        <v>114</v>
      </c>
      <c r="E367" s="60" t="s">
        <v>116</v>
      </c>
      <c r="F367" s="59" t="s">
        <v>113</v>
      </c>
      <c r="G367" s="59" t="s">
        <v>114</v>
      </c>
      <c r="H367" s="59" t="s">
        <v>116</v>
      </c>
      <c r="I367" s="48"/>
      <c r="P367" s="54"/>
      <c r="Q367" s="54"/>
    </row>
    <row r="368" spans="1:25" ht="15" customHeight="1" x14ac:dyDescent="0.25">
      <c r="A368" s="121" t="s">
        <v>148</v>
      </c>
      <c r="C368" s="31">
        <f>0.5*C303*D78*(D68/3)^2</f>
        <v>8.9337225903284221</v>
      </c>
      <c r="D368" s="31">
        <f>0.5*C303*D78*(2*D68/3)^2</f>
        <v>35.734890361313688</v>
      </c>
      <c r="E368" s="88">
        <f>0.5*C303*D78*(D68)^2</f>
        <v>80.403503312955806</v>
      </c>
      <c r="F368" s="31">
        <f>0.5*D194*D78*(D68/3)^2</f>
        <v>0</v>
      </c>
      <c r="G368" s="31">
        <f>IF(D64&lt;(D69-2*D68/3),0.5*D194*D78*(2*D68/3)^2,0.5*D194*D78*D63^2)</f>
        <v>0</v>
      </c>
      <c r="H368" s="31">
        <f>0.5*D194*D78*(D63)^2</f>
        <v>0</v>
      </c>
      <c r="I368" s="114"/>
      <c r="K368" t="s">
        <v>251</v>
      </c>
      <c r="L368" t="s">
        <v>251</v>
      </c>
      <c r="M368" t="s">
        <v>251</v>
      </c>
      <c r="P368" s="54"/>
      <c r="Q368" s="54"/>
    </row>
    <row r="369" spans="1:18" ht="15" customHeight="1" x14ac:dyDescent="0.25">
      <c r="A369" s="121" t="s">
        <v>146</v>
      </c>
      <c r="C369" s="31">
        <f>C309*COS(PI()*(D80+D73)/180)</f>
        <v>7.4747432649878593</v>
      </c>
      <c r="D369" s="31">
        <f>D309*COS(PI()*(D80+D73)/180)</f>
        <v>29.898973059951437</v>
      </c>
      <c r="E369" s="88">
        <f>E309*COS(PI()*(D80+D73)/180)</f>
        <v>67.272689384890739</v>
      </c>
      <c r="F369" s="31">
        <f>F368*COS(PI()*(0)/180)</f>
        <v>0</v>
      </c>
      <c r="G369" s="31">
        <f>G368*COS(PI()*(0)/180)</f>
        <v>0</v>
      </c>
      <c r="H369" s="31">
        <f>H368*COS(PI()*(0)/180)</f>
        <v>0</v>
      </c>
      <c r="I369" s="114"/>
      <c r="K369">
        <f>(C371+F371)*TAN(PI()*(D72+IF(D70=0,0,DEGREES(ATAN(1/D70))))/180)/M358</f>
        <v>86.128003842625589</v>
      </c>
      <c r="L369">
        <f>(D371+G371)*TAN(PI()*(D72+IF(D70=0,0,DEGREES(ATAN(1/D70))))/180)/N358</f>
        <v>308.41769127614788</v>
      </c>
      <c r="M369">
        <f>(E371+H371)*TAN(PI()*(D72+IF(D70=0,0,DEGREES(ATAN(1/D70))))/180)/O358</f>
        <v>648.96341371356243</v>
      </c>
      <c r="P369" s="54"/>
      <c r="Q369" s="54"/>
    </row>
    <row r="370" spans="1:18" ht="15" customHeight="1" x14ac:dyDescent="0.25">
      <c r="A370" s="121" t="s">
        <v>147</v>
      </c>
      <c r="C370" s="31">
        <f>C303*D78*H87*(D68/3)</f>
        <v>13.127102581707069</v>
      </c>
      <c r="D370" s="31">
        <f>C303*D78*H87*(2*D68/3)</f>
        <v>26.254205163414138</v>
      </c>
      <c r="E370" s="88">
        <f>C303*D78*H87*(D68)</f>
        <v>39.381307745121205</v>
      </c>
      <c r="F370" s="31">
        <f>D194*D78*H87*(D68/3)</f>
        <v>0</v>
      </c>
      <c r="G370" s="31">
        <f>IF(D64&lt;(D69-2*D68/3),D194*D78*H87*(2*D68/3),D194*D78*H87*D63)</f>
        <v>0</v>
      </c>
      <c r="H370" s="31">
        <f>D194*D78*H87*(D63)</f>
        <v>0</v>
      </c>
      <c r="I370" s="114"/>
      <c r="P370" s="54"/>
      <c r="Q370" s="54"/>
    </row>
    <row r="371" spans="1:18" ht="15" customHeight="1" x14ac:dyDescent="0.25">
      <c r="A371" s="122" t="s">
        <v>46</v>
      </c>
      <c r="B371" s="111"/>
      <c r="C371" s="79">
        <f>C369*(0.42*(D68/3))+C370*(D68/6)</f>
        <v>15.848140988175778</v>
      </c>
      <c r="D371" s="79">
        <f>D369*(0.42*(2*D68/3))+D370*(D68/3)</f>
        <v>83.903259471829813</v>
      </c>
      <c r="E371" s="95">
        <f>E369*(0.42*(D68))+E370*D68/2</f>
        <v>234.93139872965213</v>
      </c>
      <c r="F371" s="79">
        <f>(F369+F370)*(D68/6)</f>
        <v>0</v>
      </c>
      <c r="G371" s="79">
        <f>(G369+G370)*(D68/3)</f>
        <v>0</v>
      </c>
      <c r="H371" s="79">
        <f>(H369+H370)*D63/2</f>
        <v>0</v>
      </c>
      <c r="I371" s="116"/>
      <c r="P371" s="2"/>
      <c r="Q371" s="2"/>
      <c r="R371" s="2"/>
    </row>
    <row r="372" spans="1:18" ht="15" customHeight="1" x14ac:dyDescent="0.25">
      <c r="A372" s="120" t="s">
        <v>177</v>
      </c>
      <c r="B372" s="99"/>
      <c r="C372" s="130">
        <f>ABS(ABS(M363+M365+M364+M366)-0)/(M361*1000)</f>
        <v>1.7033344231923663E-2</v>
      </c>
      <c r="D372" s="130"/>
      <c r="E372" s="130">
        <f>ABS(ABS(N363+N365+N364+N366)-0)/(N361*1000)</f>
        <v>3.6100960768650173E-2</v>
      </c>
      <c r="F372" s="130"/>
      <c r="G372" s="130">
        <f>ABS(ABS(O363+O365+O364+O366)-0)/(O361*1000)</f>
        <v>5.3377437678792973E-2</v>
      </c>
      <c r="H372" s="131"/>
      <c r="K372" s="87"/>
      <c r="L372" s="2"/>
      <c r="M372" s="2"/>
      <c r="N372" s="2"/>
      <c r="O372" s="2"/>
      <c r="P372" s="2"/>
      <c r="Q372" s="2"/>
      <c r="R372" s="87"/>
    </row>
    <row r="373" spans="1:18" ht="15" customHeight="1" x14ac:dyDescent="0.25">
      <c r="A373" s="121" t="s">
        <v>180</v>
      </c>
      <c r="C373" s="15">
        <f>C314</f>
        <v>0.22273563048728134</v>
      </c>
      <c r="D373" s="2"/>
      <c r="E373" s="15">
        <f>D314</f>
        <v>0.41599540130422846</v>
      </c>
      <c r="F373" s="2"/>
      <c r="G373" s="134">
        <f>E314</f>
        <v>0.36841334665691106</v>
      </c>
      <c r="H373" s="67"/>
      <c r="K373" s="87"/>
      <c r="L373" s="2"/>
      <c r="M373" s="2"/>
      <c r="N373" s="2"/>
      <c r="O373" s="2"/>
      <c r="P373" s="2"/>
      <c r="Q373" s="2"/>
      <c r="R373" s="87"/>
    </row>
    <row r="374" spans="1:18" ht="15" customHeight="1" x14ac:dyDescent="0.25">
      <c r="A374" s="122" t="s">
        <v>126</v>
      </c>
      <c r="B374" s="111"/>
      <c r="C374" s="132" t="str">
        <f>IF(C373&gt;C372,"Safe","Unsafe")</f>
        <v>Safe</v>
      </c>
      <c r="D374" s="132"/>
      <c r="E374" s="132" t="str">
        <f>IF(E373&gt;E372,"Safe","Unsafe")</f>
        <v>Safe</v>
      </c>
      <c r="F374" s="132"/>
      <c r="G374" s="132" t="str">
        <f>IF(G373&gt;G372,"Safe","Unsafe")</f>
        <v>Safe</v>
      </c>
      <c r="H374" s="133"/>
      <c r="P374" s="2"/>
      <c r="Q374" s="2"/>
      <c r="R374" s="87"/>
    </row>
    <row r="375" spans="1:18" ht="15" customHeight="1" x14ac:dyDescent="0.25">
      <c r="A375" s="120" t="s">
        <v>117</v>
      </c>
      <c r="B375" s="99"/>
      <c r="C375" s="123">
        <f>SQRT(ABS(C371+F371)*1000/G294)</f>
        <v>126.67376504441627</v>
      </c>
      <c r="D375" s="123"/>
      <c r="E375" s="123">
        <f>SQRT(ABS(D371+G371)*1000/G294)</f>
        <v>291.46534993928128</v>
      </c>
      <c r="F375" s="123"/>
      <c r="G375" s="123">
        <f>SQRT(ABS(E371+H371)*1000/G294)</f>
        <v>487.7171733840965</v>
      </c>
      <c r="H375" s="124"/>
      <c r="P375" s="2"/>
      <c r="Q375" s="2"/>
      <c r="R375" s="87"/>
    </row>
    <row r="376" spans="1:18" ht="15" customHeight="1" x14ac:dyDescent="0.25">
      <c r="A376" s="121" t="s">
        <v>118</v>
      </c>
      <c r="C376" s="2">
        <f>(AVERAGE(D65,((D68/3)*D67/D68+D65+(D68/3)*D66/D68))-K81-M81/2000)*1000</f>
        <v>593.66666666666652</v>
      </c>
      <c r="D376" s="2"/>
      <c r="E376" s="2">
        <f>(AVERAGE(((D68/3)*D67/D68+D65+(D68/3)*D66/D68),((2*D68/3)*D67/D68+D65+(2*D68/3)*D66/D68))-K82-M82/2000)*1000</f>
        <v>968.99999999999989</v>
      </c>
      <c r="F376" s="2"/>
      <c r="G376" s="113">
        <f>(AVERAGE(((2*D68/3)*D67/D68+D65+(2*D68/3)*D66/D68),D75)-K83-M83/2000)*1000</f>
        <v>1352.3333333333333</v>
      </c>
      <c r="H376" s="125"/>
      <c r="P376" s="2"/>
      <c r="Q376" s="2"/>
      <c r="R376" s="87"/>
    </row>
    <row r="377" spans="1:18" ht="15" customHeight="1" x14ac:dyDescent="0.25">
      <c r="A377" s="122" t="s">
        <v>126</v>
      </c>
      <c r="B377" s="111"/>
      <c r="C377" s="126" t="str">
        <f>IF(C376&gt;C375,"Safe","Unsafe")</f>
        <v>Safe</v>
      </c>
      <c r="D377" s="126"/>
      <c r="E377" s="126" t="str">
        <f>IF(E376&gt;E375,"Safe","Unsafe")</f>
        <v>Safe</v>
      </c>
      <c r="F377" s="126"/>
      <c r="G377" s="126" t="str">
        <f>IF(G376&gt;G375,"Safe","Unsafe")</f>
        <v>Safe</v>
      </c>
      <c r="H377" s="127"/>
      <c r="P377" s="2"/>
      <c r="Q377" s="2"/>
      <c r="R377" s="87"/>
    </row>
    <row r="378" spans="1:18" ht="15" customHeight="1" x14ac:dyDescent="0.25">
      <c r="A378" s="120" t="s">
        <v>119</v>
      </c>
      <c r="B378" s="99"/>
      <c r="C378" s="123">
        <f>ABS(C371+F371)*1000000/G291/G293/C376</f>
        <v>225.24203748635574</v>
      </c>
      <c r="D378" s="123"/>
      <c r="E378" s="123">
        <f>ABS(D371+G371)*1000000/G291/G293/E376</f>
        <v>730.5817871966608</v>
      </c>
      <c r="F378" s="123"/>
      <c r="G378" s="123">
        <f>ABS(E371+H371)*1000000/G291/G293/G376</f>
        <v>1465.7877816968994</v>
      </c>
      <c r="H378" s="124"/>
      <c r="P378" s="2"/>
      <c r="Q378" s="2"/>
      <c r="R378" s="87"/>
    </row>
    <row r="379" spans="1:18" ht="15" customHeight="1" x14ac:dyDescent="0.25">
      <c r="A379" s="121" t="s">
        <v>129</v>
      </c>
      <c r="C379" s="113">
        <f>(PI()*B90*B90/4+PI()*C90*C90/4)*1000/D90</f>
        <v>1340.4128655316449</v>
      </c>
      <c r="D379" s="113"/>
      <c r="E379" s="113">
        <f>(PI()*B91*B91/4+PI()*C91*C91/4)*1000/D91</f>
        <v>10053.096491487337</v>
      </c>
      <c r="F379" s="113"/>
      <c r="G379" s="113">
        <f>(PI()*B92*B92/4+PI()*C92*C92/4)*1000/D92</f>
        <v>10053.096491487337</v>
      </c>
      <c r="H379" s="125"/>
      <c r="P379" s="2"/>
      <c r="Q379" s="2"/>
      <c r="R379" s="87"/>
    </row>
    <row r="380" spans="1:18" ht="15" customHeight="1" x14ac:dyDescent="0.25">
      <c r="A380" s="122" t="s">
        <v>126</v>
      </c>
      <c r="B380" s="111"/>
      <c r="C380" s="126" t="str">
        <f>IF(C379&gt;C378,"Safe","Unsafe")</f>
        <v>Safe</v>
      </c>
      <c r="D380" s="126"/>
      <c r="E380" s="126" t="str">
        <f>IF(E379&gt;E378,"Safe","Unsafe")</f>
        <v>Safe</v>
      </c>
      <c r="F380" s="126"/>
      <c r="G380" s="126" t="str">
        <f>IF(G379&gt;G378,"Safe","Unsafe")</f>
        <v>Safe</v>
      </c>
      <c r="H380" s="127"/>
      <c r="P380" s="2"/>
      <c r="Q380" s="2"/>
      <c r="R380" s="87"/>
    </row>
    <row r="381" spans="1:18" ht="15" customHeight="1" x14ac:dyDescent="0.25">
      <c r="A381" s="120" t="s">
        <v>124</v>
      </c>
      <c r="B381" s="99"/>
      <c r="C381" s="123">
        <f>(PI()*M81*M81/4+PI()*N81*N81/4)*1000/C378</f>
        <v>1785.2966708483648</v>
      </c>
      <c r="D381" s="123"/>
      <c r="E381" s="123">
        <f>(PI()*M82*M82/4+PI()*N82*N82/4)*1000/E378</f>
        <v>2201.6637518572484</v>
      </c>
      <c r="F381" s="123"/>
      <c r="G381" s="123">
        <f>(PI()*M83*M83/4+PI()*N83*N83/4)*1000/G378</f>
        <v>1097.3590165800579</v>
      </c>
      <c r="H381" s="124"/>
      <c r="P381" s="2"/>
      <c r="Q381" s="2"/>
      <c r="R381" s="87"/>
    </row>
    <row r="382" spans="1:18" ht="15" customHeight="1" x14ac:dyDescent="0.25">
      <c r="A382" s="121" t="s">
        <v>173</v>
      </c>
      <c r="C382" s="15">
        <f>C379*100/(C376*1000)</f>
        <v>0.22578543495760445</v>
      </c>
      <c r="D382" s="15"/>
      <c r="E382" s="15">
        <f>E379*100/(E376*1000)</f>
        <v>1.037471258151428</v>
      </c>
      <c r="F382" s="15"/>
      <c r="G382" s="15">
        <f>G379*100/(G376*1000)</f>
        <v>0.74338894440379621</v>
      </c>
      <c r="H382" s="104"/>
      <c r="P382" s="2"/>
      <c r="Q382" s="2"/>
      <c r="R382" s="87"/>
    </row>
    <row r="383" spans="1:18" ht="15" customHeight="1" x14ac:dyDescent="0.25">
      <c r="A383" s="122" t="s">
        <v>126</v>
      </c>
      <c r="B383" s="111"/>
      <c r="C383" s="128" t="str">
        <f>IF(C382&lt;0.15,"N.G","Ok")</f>
        <v>Ok</v>
      </c>
      <c r="D383" s="128"/>
      <c r="E383" s="128" t="str">
        <f>IF(E382&lt;0.15,"N.G","Ok")</f>
        <v>Ok</v>
      </c>
      <c r="F383" s="128"/>
      <c r="G383" s="128" t="str">
        <f>IF(G382&lt;0.15,"N.G","Ok")</f>
        <v>Ok</v>
      </c>
      <c r="H383" s="129"/>
    </row>
    <row r="384" spans="1:18" ht="15" customHeight="1" x14ac:dyDescent="0.25"/>
    <row r="385" spans="1:18" ht="15" customHeight="1" x14ac:dyDescent="0.25"/>
    <row r="386" spans="1:18" ht="15" customHeight="1" x14ac:dyDescent="0.25">
      <c r="A386" s="135" t="s">
        <v>133</v>
      </c>
      <c r="B386" s="81"/>
      <c r="C386" s="57" t="s">
        <v>113</v>
      </c>
      <c r="D386" s="57" t="s">
        <v>114</v>
      </c>
      <c r="E386" s="36" t="s">
        <v>134</v>
      </c>
    </row>
    <row r="387" spans="1:18" ht="15" customHeight="1" x14ac:dyDescent="0.25">
      <c r="A387" s="120" t="s">
        <v>115</v>
      </c>
      <c r="B387" s="99"/>
      <c r="C387" s="108">
        <f>(H63+D75)*(D272-D268)/H67+D268</f>
        <v>-91.716818181818198</v>
      </c>
      <c r="D387" s="108">
        <f>(H67-H64/2)*(D272-D268)/H67+D268</f>
        <v>-123.38977066115699</v>
      </c>
      <c r="E387" s="109">
        <f>D272</f>
        <v>-155.06272314049579</v>
      </c>
      <c r="K387" s="80"/>
      <c r="L387" s="117"/>
      <c r="M387" s="117" t="s">
        <v>113</v>
      </c>
      <c r="N387" s="117" t="s">
        <v>114</v>
      </c>
      <c r="O387" s="118" t="s">
        <v>134</v>
      </c>
    </row>
    <row r="388" spans="1:18" ht="15" customHeight="1" x14ac:dyDescent="0.25">
      <c r="A388" s="121" t="s">
        <v>135</v>
      </c>
      <c r="C388" s="31">
        <f>C387*H64*H64/2+0.5*(D272-C387)*H64*H64*2/3</f>
        <v>-2025.9547499999994</v>
      </c>
      <c r="D388" s="31">
        <f>(D387*(H64/2)*(H64/4)+(0.5*(H64/2)*(E387-D387))*((H64/2)*(2/3)))</f>
        <v>-546.40980468749979</v>
      </c>
      <c r="E388" s="67">
        <v>0</v>
      </c>
      <c r="K388" s="97" t="s">
        <v>203</v>
      </c>
      <c r="L388" s="47"/>
      <c r="M388" s="101">
        <f t="shared" ref="M388:N390" si="2">M327</f>
        <v>1.0080423938854755</v>
      </c>
      <c r="N388" s="101">
        <f t="shared" si="2"/>
        <v>0.61157922488988026</v>
      </c>
      <c r="O388" s="46"/>
    </row>
    <row r="389" spans="1:18" ht="15" customHeight="1" x14ac:dyDescent="0.25">
      <c r="A389" s="121" t="s">
        <v>136</v>
      </c>
      <c r="C389" s="31">
        <f>B129*H64/2+H87*H64*D78*H64/2+H65*H64*D87*H64/2+F122*H64/3+B130*2*H64/3</f>
        <v>2011.625</v>
      </c>
      <c r="D389" s="31">
        <f>((H87*(H64/2)*D78*(H64/4))+(D68*H63*D78*H63/2)+(((H66-H65)/2)*(H64/2)*D78*(H64/4)+0.5*((H66-H65)/2)*(H64/2)*D78*(H64/3))+(0.5*((H66-H65)/2)*(H64/2)*D87*(H64/6))+((H64/2)*H65*D87*(H64/4)))</f>
        <v>837.13599999999997</v>
      </c>
      <c r="E389" s="114"/>
      <c r="K389" s="78" t="s">
        <v>204</v>
      </c>
      <c r="L389" s="54"/>
      <c r="M389" s="100">
        <f t="shared" si="2"/>
        <v>4.6199629894650611</v>
      </c>
      <c r="N389" s="100">
        <f t="shared" si="2"/>
        <v>2.2160816290643903</v>
      </c>
      <c r="O389" s="102"/>
    </row>
    <row r="390" spans="1:18" ht="15" customHeight="1" x14ac:dyDescent="0.25">
      <c r="A390" s="122" t="s">
        <v>137</v>
      </c>
      <c r="B390" s="111"/>
      <c r="C390" s="79">
        <f>C389+C388</f>
        <v>-14.329749999999422</v>
      </c>
      <c r="D390" s="79">
        <f>D389+D388</f>
        <v>290.72619531250018</v>
      </c>
      <c r="E390" s="116"/>
      <c r="K390" s="78" t="s">
        <v>212</v>
      </c>
      <c r="M390" s="8">
        <f t="shared" si="2"/>
        <v>0.88003701053493888</v>
      </c>
      <c r="N390" s="103">
        <f t="shared" si="2"/>
        <v>0.53038153993120485</v>
      </c>
      <c r="O390" s="102"/>
    </row>
    <row r="391" spans="1:18" ht="15" customHeight="1" x14ac:dyDescent="0.25">
      <c r="A391" s="120" t="s">
        <v>177</v>
      </c>
      <c r="B391" s="99"/>
      <c r="C391" s="130">
        <f>ABS(ABS(M398)-0)/(M390*1000)</f>
        <v>2.1866854988655964E-2</v>
      </c>
      <c r="D391" s="130">
        <f>ABS(ABS(N398)-0)/(N390*1000)</f>
        <v>3.2260256675878327E-2</v>
      </c>
      <c r="E391" s="48"/>
      <c r="K391" s="78" t="s">
        <v>205</v>
      </c>
      <c r="L391" s="54"/>
      <c r="M391" s="100">
        <f>H87*M389*D78</f>
        <v>99.791200572445305</v>
      </c>
      <c r="N391" s="100">
        <f>H87*N389*D78</f>
        <v>47.867363187790829</v>
      </c>
      <c r="O391" s="102"/>
    </row>
    <row r="392" spans="1:18" ht="15" customHeight="1" x14ac:dyDescent="0.25">
      <c r="A392" s="121" t="s">
        <v>180</v>
      </c>
      <c r="C392" s="15">
        <f>C333</f>
        <v>0.37791324162393991</v>
      </c>
      <c r="D392" s="15">
        <f>D333</f>
        <v>0.41120651958075699</v>
      </c>
      <c r="E392" s="114"/>
      <c r="K392" s="78" t="s">
        <v>192</v>
      </c>
      <c r="L392" s="54"/>
      <c r="M392" s="100">
        <f>M389*D68*D78</f>
        <v>407.48073567081843</v>
      </c>
      <c r="N392" s="100">
        <f>N389*D68*D78</f>
        <v>195.45839968347926</v>
      </c>
      <c r="O392" s="102"/>
    </row>
    <row r="393" spans="1:18" ht="15" customHeight="1" x14ac:dyDescent="0.25">
      <c r="A393" s="122" t="s">
        <v>126</v>
      </c>
      <c r="B393" s="111"/>
      <c r="C393" s="132" t="str">
        <f>IF(C392&gt;C391,"Safe","Unsafe")</f>
        <v>Safe</v>
      </c>
      <c r="D393" s="132" t="str">
        <f>IF(D392&gt;D391,"Safe","Unsafe")</f>
        <v>Safe</v>
      </c>
      <c r="E393" s="116"/>
      <c r="K393" s="78" t="s">
        <v>209</v>
      </c>
      <c r="L393" s="54"/>
      <c r="M393" s="100">
        <f>M388*(H66-H65)/H64</f>
        <v>0.1466243482015237</v>
      </c>
      <c r="N393" s="100">
        <f>N388*(H66-H65)/(H64/2)</f>
        <v>0.17791395633160154</v>
      </c>
      <c r="O393" s="102"/>
    </row>
    <row r="394" spans="1:18" ht="15" customHeight="1" x14ac:dyDescent="0.25">
      <c r="A394" s="120" t="s">
        <v>117</v>
      </c>
      <c r="B394" s="99"/>
      <c r="C394" s="123">
        <f>SQRT(ABS(C390)*1000/G294)</f>
        <v>120.45277861053856</v>
      </c>
      <c r="D394" s="123">
        <f>SQRT(ABS(D390)*1000/G294)</f>
        <v>542.54978827192122</v>
      </c>
      <c r="E394" s="48"/>
      <c r="K394" s="78" t="s">
        <v>206</v>
      </c>
      <c r="L394" s="54"/>
      <c r="M394" s="100">
        <f>0.5*(M393+(H66-H65))*M389*D78</f>
        <v>39.360325082557743</v>
      </c>
      <c r="N394" s="100">
        <f>0.5*(N393+(H66-H65))*N389*D78</f>
        <v>19.504234380889251</v>
      </c>
      <c r="O394" s="102"/>
    </row>
    <row r="395" spans="1:18" ht="15" customHeight="1" x14ac:dyDescent="0.25">
      <c r="A395" s="121" t="s">
        <v>118</v>
      </c>
      <c r="C395" s="113">
        <f>(H66-K91-M91/2000)*1000</f>
        <v>1012.5000000000002</v>
      </c>
      <c r="D395" s="2">
        <f>((H66+H65)/2-K92-M92/2000)*1000</f>
        <v>609.00000000000011</v>
      </c>
      <c r="E395" s="114"/>
      <c r="K395" s="78" t="s">
        <v>207</v>
      </c>
      <c r="L395" s="54"/>
      <c r="M395" s="100">
        <f>0.5*(H65+(H66-M393))*M389*D87</f>
        <v>69.486589478467309</v>
      </c>
      <c r="N395" s="100">
        <f>0.5*(H65+(H66-N393))*N389*D87</f>
        <v>32.498909166114245</v>
      </c>
      <c r="O395" s="102"/>
    </row>
    <row r="396" spans="1:18" ht="15" customHeight="1" x14ac:dyDescent="0.25">
      <c r="A396" s="122" t="s">
        <v>126</v>
      </c>
      <c r="B396" s="111"/>
      <c r="C396" s="126" t="str">
        <f>IF(C395&gt;C394,"Safe","Unsafe")</f>
        <v>Safe</v>
      </c>
      <c r="D396" s="126" t="str">
        <f>IF(D395&gt;D394,"Safe","Unsafe")</f>
        <v>Safe</v>
      </c>
      <c r="E396" s="127"/>
      <c r="K396" s="78" t="s">
        <v>208</v>
      </c>
      <c r="L396" s="54"/>
      <c r="M396" s="54">
        <f>M388*(E387-C387)/H64+C328</f>
        <v>-103.32688321407041</v>
      </c>
      <c r="N396" s="31">
        <f>N388*(E387-D387)/H64+D387</f>
        <v>-126.91168333884572</v>
      </c>
      <c r="O396" s="67"/>
      <c r="Q396" t="s">
        <v>251</v>
      </c>
      <c r="R396" t="s">
        <v>251</v>
      </c>
    </row>
    <row r="397" spans="1:18" ht="15" customHeight="1" x14ac:dyDescent="0.25">
      <c r="A397" s="120" t="s">
        <v>119</v>
      </c>
      <c r="B397" s="99"/>
      <c r="C397" s="123">
        <f>ABS(C390)*1000000/G291/G293/C395</f>
        <v>119.41458333332849</v>
      </c>
      <c r="D397" s="123">
        <f>ABS(D390)*1000000/G291/G293/D337</f>
        <v>4027.918346386241</v>
      </c>
      <c r="E397" s="48"/>
      <c r="K397" s="78" t="s">
        <v>210</v>
      </c>
      <c r="L397" s="2"/>
      <c r="M397" s="2">
        <f>0.5*(M396+E387)*M389</f>
        <v>-596.87520911027093</v>
      </c>
      <c r="N397" s="31">
        <f>0.5*(N396+E387)*N389</f>
        <v>-312.43915103260184</v>
      </c>
      <c r="O397" s="67"/>
      <c r="Q397">
        <f>C390*TAN(H70*PI()/180)/M390</f>
        <v>-2.3684541079246313</v>
      </c>
      <c r="R397">
        <f>D390*TAN(H70*PI()/180)/N390</f>
        <v>79.730238341994635</v>
      </c>
    </row>
    <row r="398" spans="1:18" ht="15" customHeight="1" x14ac:dyDescent="0.25">
      <c r="A398" s="121" t="s">
        <v>129</v>
      </c>
      <c r="C398" s="113">
        <f>(PI()*B94*B94/4+PI()*C94*C94/4)*1000/D94</f>
        <v>8094.509821514951</v>
      </c>
      <c r="D398" s="113">
        <f>(PI()*B93*B93/4+PI()*C93*C93/4)*1000/D93</f>
        <v>6135.9231515425654</v>
      </c>
      <c r="E398" s="114"/>
      <c r="K398" s="96" t="s">
        <v>211</v>
      </c>
      <c r="L398" s="62"/>
      <c r="M398" s="79">
        <f>M391+M392+M394+M395+M397</f>
        <v>19.243641694017811</v>
      </c>
      <c r="N398" s="79">
        <f>N391+N392+N394+N395+N397</f>
        <v>-17.11024461432828</v>
      </c>
      <c r="O398" s="63"/>
    </row>
    <row r="399" spans="1:18" ht="15" customHeight="1" x14ac:dyDescent="0.25">
      <c r="A399" s="122" t="s">
        <v>126</v>
      </c>
      <c r="B399" s="111"/>
      <c r="C399" s="126" t="str">
        <f>IF(C398&gt;C397,"Safe","Unsafe")</f>
        <v>Safe</v>
      </c>
      <c r="D399" s="126" t="str">
        <f>IF(D398&gt;D397,"Safe","Unsafe")</f>
        <v>Safe</v>
      </c>
      <c r="E399" s="116"/>
    </row>
    <row r="400" spans="1:18" ht="15" customHeight="1" x14ac:dyDescent="0.25">
      <c r="A400" s="120" t="s">
        <v>124</v>
      </c>
      <c r="B400" s="99"/>
      <c r="C400" s="123">
        <f>(PI()*M91*M91/4+PI()*N91*N91/4)*1000/C397</f>
        <v>8221.3384399324495</v>
      </c>
      <c r="D400" s="123">
        <f>(PI()*M91*M91/4+PI()*N91*N91/4)*1000/D397</f>
        <v>243.73575127897334</v>
      </c>
      <c r="E400" s="48"/>
    </row>
    <row r="401" spans="1:15" ht="15" customHeight="1" x14ac:dyDescent="0.25">
      <c r="A401" s="121" t="s">
        <v>173</v>
      </c>
      <c r="C401" s="31">
        <f>C398*100/(C395*1000)</f>
        <v>0.79945776014962455</v>
      </c>
      <c r="D401" s="31">
        <f>D398*100/(D395*1000)</f>
        <v>1.0075407473797313</v>
      </c>
      <c r="E401" s="114"/>
    </row>
    <row r="402" spans="1:15" ht="15" customHeight="1" x14ac:dyDescent="0.25">
      <c r="A402" s="122" t="s">
        <v>126</v>
      </c>
      <c r="B402" s="111"/>
      <c r="C402" s="128" t="str">
        <f>IF(C401&lt;0.15,"N.G","Ok")</f>
        <v>Ok</v>
      </c>
      <c r="D402" s="128" t="str">
        <f>IF(D401&lt;0.15,"N.G","Ok")</f>
        <v>Ok</v>
      </c>
      <c r="E402" s="116"/>
    </row>
    <row r="403" spans="1:15" x14ac:dyDescent="0.25">
      <c r="A403" s="28"/>
    </row>
    <row r="404" spans="1:15" x14ac:dyDescent="0.25">
      <c r="A404" s="1" t="s">
        <v>138</v>
      </c>
      <c r="K404" s="97" t="s">
        <v>178</v>
      </c>
      <c r="L404" s="47"/>
      <c r="M404" s="60"/>
    </row>
    <row r="405" spans="1:15" x14ac:dyDescent="0.25">
      <c r="A405" s="120" t="s">
        <v>115</v>
      </c>
      <c r="B405" s="99"/>
      <c r="C405" s="99"/>
      <c r="D405" s="108">
        <f>H63*(D272-D268)/H67+D268</f>
        <v>-73.288918557475625</v>
      </c>
      <c r="E405" s="48"/>
      <c r="K405" s="98"/>
      <c r="L405" s="50"/>
      <c r="M405" s="63"/>
    </row>
    <row r="406" spans="1:15" x14ac:dyDescent="0.25">
      <c r="A406" s="121" t="s">
        <v>135</v>
      </c>
      <c r="D406" s="31">
        <f>D268*H63*(-H63/2)+0.5*H63*(D405-D268)*(-H63/3)</f>
        <v>329.62793858452352</v>
      </c>
      <c r="E406" s="114"/>
      <c r="K406" s="97" t="s">
        <v>215</v>
      </c>
      <c r="L406" s="47"/>
      <c r="M406" s="104">
        <f>M342</f>
        <v>1.0090000000000001</v>
      </c>
    </row>
    <row r="407" spans="1:15" x14ac:dyDescent="0.25">
      <c r="A407" s="121" t="s">
        <v>136</v>
      </c>
      <c r="D407" s="2">
        <f>(F124*(-H63/3)+H65*H63*D87*(-H63/2))</f>
        <v>-103.428</v>
      </c>
      <c r="E407" s="114"/>
      <c r="K407" s="78" t="s">
        <v>204</v>
      </c>
      <c r="L407" s="54"/>
      <c r="M407" s="88">
        <f>M343</f>
        <v>2.891</v>
      </c>
    </row>
    <row r="408" spans="1:15" x14ac:dyDescent="0.25">
      <c r="A408" s="122" t="s">
        <v>137</v>
      </c>
      <c r="B408" s="111"/>
      <c r="C408" s="111"/>
      <c r="D408" s="79">
        <f>D407+D406</f>
        <v>226.19993858452352</v>
      </c>
      <c r="E408" s="116"/>
      <c r="K408" s="78" t="s">
        <v>212</v>
      </c>
      <c r="M408" s="88">
        <f>M344</f>
        <v>0.802025641025641</v>
      </c>
    </row>
    <row r="409" spans="1:15" ht="15.75" x14ac:dyDescent="0.25">
      <c r="A409" s="120" t="s">
        <v>177</v>
      </c>
      <c r="B409" s="99"/>
      <c r="C409" s="99"/>
      <c r="D409" s="130">
        <f>ABS(ABS(M412)-0)/(M408*1000)</f>
        <v>0.12346257347436192</v>
      </c>
      <c r="E409" s="48"/>
      <c r="K409" s="78" t="s">
        <v>207</v>
      </c>
      <c r="L409" s="54"/>
      <c r="M409" s="88">
        <f>0.5*(H65+(H65+(H66-H65)*M407/H63)*M407*D87)</f>
        <v>31.130845538461536</v>
      </c>
    </row>
    <row r="410" spans="1:15" ht="15.75" x14ac:dyDescent="0.25">
      <c r="A410" s="121" t="s">
        <v>180</v>
      </c>
      <c r="D410" s="134">
        <f>D352</f>
        <v>0.79945776014962455</v>
      </c>
      <c r="E410" s="114"/>
      <c r="K410" s="78" t="s">
        <v>208</v>
      </c>
      <c r="L410" s="54"/>
      <c r="M410" s="105">
        <f>(D405-D268)*M407/H63+D268</f>
        <v>-61.66782435687459</v>
      </c>
    </row>
    <row r="411" spans="1:15" x14ac:dyDescent="0.25">
      <c r="A411" s="122" t="s">
        <v>126</v>
      </c>
      <c r="B411" s="111"/>
      <c r="C411" s="111"/>
      <c r="D411" s="132" t="str">
        <f>IF(D410&gt;D409,"Safe","Unsafe")</f>
        <v>Safe</v>
      </c>
      <c r="E411" s="116"/>
      <c r="K411" s="78" t="s">
        <v>210</v>
      </c>
      <c r="L411" s="2"/>
      <c r="M411" s="105">
        <f>0.5*(M410+D268)*M407</f>
        <v>-130.15099517191194</v>
      </c>
      <c r="O411" t="s">
        <v>251</v>
      </c>
    </row>
    <row r="412" spans="1:15" x14ac:dyDescent="0.25">
      <c r="A412" s="120" t="s">
        <v>117</v>
      </c>
      <c r="B412" s="99"/>
      <c r="C412" s="99"/>
      <c r="D412" s="123">
        <f>SQRT(ABS(D408)*1000/G294)</f>
        <v>478.56811199329826</v>
      </c>
      <c r="E412" s="48"/>
      <c r="K412" s="96" t="s">
        <v>211</v>
      </c>
      <c r="L412" s="62"/>
      <c r="M412" s="106">
        <f>M409+M411</f>
        <v>-99.020149633450416</v>
      </c>
      <c r="O412">
        <f>D408*TAN(PI()*H71/180)/M408</f>
        <v>57.853496233133669</v>
      </c>
    </row>
    <row r="413" spans="1:15" x14ac:dyDescent="0.25">
      <c r="A413" s="121" t="s">
        <v>118</v>
      </c>
      <c r="D413" s="2">
        <f>(H66-K101-M101/2000)*1000</f>
        <v>1009.0000000000001</v>
      </c>
      <c r="E413" s="114"/>
    </row>
    <row r="414" spans="1:15" x14ac:dyDescent="0.25">
      <c r="A414" s="122" t="s">
        <v>126</v>
      </c>
      <c r="B414" s="111"/>
      <c r="C414" s="111"/>
      <c r="D414" s="126" t="str">
        <f>IF(D413&gt;D412,"Safe","Unsafe")</f>
        <v>Safe</v>
      </c>
      <c r="E414" s="116"/>
    </row>
    <row r="415" spans="1:15" ht="15.75" x14ac:dyDescent="0.25">
      <c r="A415" s="120" t="s">
        <v>119</v>
      </c>
      <c r="B415" s="99"/>
      <c r="C415" s="99"/>
      <c r="D415" s="123">
        <f>ABS(D408)*1000000/G291/G293/D413</f>
        <v>1891.5381385598785</v>
      </c>
      <c r="E415" s="48"/>
    </row>
    <row r="416" spans="1:15" ht="15.75" x14ac:dyDescent="0.25">
      <c r="A416" s="121" t="s">
        <v>129</v>
      </c>
      <c r="D416" s="113">
        <f>(PI()*B95*B95/4+PI()*C95*C95/4)*1000/D95</f>
        <v>8094.509821514951</v>
      </c>
      <c r="E416" s="114"/>
    </row>
    <row r="417" spans="1:17" x14ac:dyDescent="0.25">
      <c r="A417" s="122" t="s">
        <v>126</v>
      </c>
      <c r="B417" s="111"/>
      <c r="C417" s="111"/>
      <c r="D417" s="126" t="str">
        <f>IF(D416&gt;D415,"Safe","Unsafe")</f>
        <v>Safe</v>
      </c>
      <c r="E417" s="116"/>
    </row>
    <row r="418" spans="1:17" x14ac:dyDescent="0.25">
      <c r="A418" s="120" t="s">
        <v>124</v>
      </c>
      <c r="B418" s="99"/>
      <c r="C418" s="99"/>
      <c r="D418" s="123">
        <f>(PI()*M101*M101/4+PI()*N101*N101/4)*1000/D415</f>
        <v>684.69228562762805</v>
      </c>
      <c r="E418" s="48"/>
    </row>
    <row r="419" spans="1:17" x14ac:dyDescent="0.25">
      <c r="A419" s="121" t="s">
        <v>173</v>
      </c>
      <c r="D419" s="31">
        <f>D416*100/(D413*1000)</f>
        <v>0.80223090401535679</v>
      </c>
      <c r="E419" s="114"/>
    </row>
    <row r="420" spans="1:17" x14ac:dyDescent="0.25">
      <c r="A420" s="122" t="s">
        <v>126</v>
      </c>
      <c r="B420" s="111"/>
      <c r="C420" s="111"/>
      <c r="D420" s="128" t="str">
        <f>IF(D419&lt;0.15,"N.G","Ok")</f>
        <v>Ok</v>
      </c>
      <c r="E420" s="116"/>
    </row>
    <row r="421" spans="1:17" x14ac:dyDescent="0.25">
      <c r="A421" s="28"/>
    </row>
    <row r="423" spans="1:17" ht="18" x14ac:dyDescent="0.35">
      <c r="A423" s="35" t="s">
        <v>274</v>
      </c>
      <c r="B423" s="56" t="s">
        <v>222</v>
      </c>
      <c r="C423" s="56" t="s">
        <v>273</v>
      </c>
      <c r="D423" s="36" t="s">
        <v>126</v>
      </c>
      <c r="K423" s="80" t="s">
        <v>255</v>
      </c>
      <c r="L423" s="81"/>
      <c r="M423" s="57" t="s">
        <v>168</v>
      </c>
      <c r="N423" s="57" t="s">
        <v>169</v>
      </c>
      <c r="O423" s="57" t="s">
        <v>170</v>
      </c>
      <c r="P423" s="57" t="s">
        <v>171</v>
      </c>
      <c r="Q423" s="36" t="s">
        <v>172</v>
      </c>
    </row>
    <row r="424" spans="1:17" x14ac:dyDescent="0.25">
      <c r="A424" s="323" t="s">
        <v>29</v>
      </c>
      <c r="B424" s="58">
        <v>1</v>
      </c>
      <c r="C424" s="294">
        <f>MAX((B90*F291/4/1),IF(F291=200,B90*O429,B90*O428))</f>
        <v>896</v>
      </c>
      <c r="D424" s="58" t="str">
        <f t="shared" ref="D424:D429" si="3">IF(C424&lt;A$466,"Ok","N.S")</f>
        <v>Ok</v>
      </c>
      <c r="E424" s="167"/>
      <c r="F424" s="2"/>
      <c r="G424" s="34"/>
      <c r="H424" s="2"/>
      <c r="K424" s="80"/>
      <c r="L424" s="55" t="s">
        <v>256</v>
      </c>
      <c r="M424" s="81"/>
      <c r="N424" s="81"/>
      <c r="O424" s="81"/>
      <c r="P424" s="81"/>
      <c r="Q424" s="37"/>
    </row>
    <row r="425" spans="1:17" x14ac:dyDescent="0.25">
      <c r="A425" s="324"/>
      <c r="B425" s="66">
        <v>2</v>
      </c>
      <c r="C425" s="291">
        <f>(C90*F291/4/1)</f>
        <v>800</v>
      </c>
      <c r="D425" s="66" t="str">
        <f t="shared" si="3"/>
        <v>Ok</v>
      </c>
      <c r="E425" s="167"/>
      <c r="F425" s="80" t="s">
        <v>252</v>
      </c>
      <c r="G425" s="39"/>
      <c r="H425" s="36"/>
      <c r="K425" s="97" t="s">
        <v>257</v>
      </c>
      <c r="L425" s="58" t="s">
        <v>262</v>
      </c>
      <c r="M425" s="99">
        <v>66</v>
      </c>
      <c r="N425" s="99">
        <v>56</v>
      </c>
      <c r="O425" s="99">
        <v>48</v>
      </c>
      <c r="P425" s="99">
        <v>42</v>
      </c>
      <c r="Q425" s="48">
        <v>42</v>
      </c>
    </row>
    <row r="426" spans="1:17" x14ac:dyDescent="0.25">
      <c r="A426" s="324"/>
      <c r="B426" s="66">
        <v>3</v>
      </c>
      <c r="C426" s="291">
        <f>(B91*F291/4/1)</f>
        <v>1600</v>
      </c>
      <c r="D426" s="66" t="str">
        <f t="shared" si="3"/>
        <v>Ok</v>
      </c>
      <c r="E426" s="167"/>
      <c r="F426" s="78" t="s">
        <v>265</v>
      </c>
      <c r="G426" s="8">
        <f>B450*(PI()*C450*C450/4)*2*100/((0.5*(D65+D75)*D68)*1000000)</f>
        <v>0.22157845328176173</v>
      </c>
      <c r="H426" s="254" t="str">
        <f>IF(G426&lt;0.15,"N.G","OK")</f>
        <v>OK</v>
      </c>
      <c r="K426" s="78" t="s">
        <v>258</v>
      </c>
      <c r="L426" s="66" t="s">
        <v>263</v>
      </c>
      <c r="M426">
        <v>55</v>
      </c>
      <c r="N426">
        <v>46</v>
      </c>
      <c r="O426">
        <v>40</v>
      </c>
      <c r="P426">
        <v>35</v>
      </c>
      <c r="Q426" s="114">
        <v>35</v>
      </c>
    </row>
    <row r="427" spans="1:17" x14ac:dyDescent="0.25">
      <c r="A427" s="324"/>
      <c r="B427" s="66">
        <v>4</v>
      </c>
      <c r="C427" s="291">
        <f>(C91*F291/4/1)</f>
        <v>1600</v>
      </c>
      <c r="D427" s="66" t="str">
        <f t="shared" si="3"/>
        <v>Ok</v>
      </c>
      <c r="E427" s="167"/>
      <c r="F427" s="78" t="s">
        <v>266</v>
      </c>
      <c r="G427" s="8">
        <f>B452*2*(PI()*C452*C452/4)*100/(0.5*(H65+H66)*H64*1000000)</f>
        <v>0.2154234962461572</v>
      </c>
      <c r="H427" s="254" t="str">
        <f>IF(G427&lt;0.15,"N.G","OK")</f>
        <v>OK</v>
      </c>
      <c r="K427" s="98" t="s">
        <v>259</v>
      </c>
      <c r="L427" s="64" t="s">
        <v>264</v>
      </c>
      <c r="M427" s="111">
        <v>65</v>
      </c>
      <c r="N427" s="111">
        <v>60</v>
      </c>
      <c r="O427" s="111">
        <v>55</v>
      </c>
      <c r="P427" s="111">
        <v>50</v>
      </c>
      <c r="Q427" s="116">
        <v>50</v>
      </c>
    </row>
    <row r="428" spans="1:17" x14ac:dyDescent="0.25">
      <c r="A428" s="324"/>
      <c r="B428" s="66">
        <v>5</v>
      </c>
      <c r="C428" s="291">
        <f>(B92*F291/4/1)</f>
        <v>1600</v>
      </c>
      <c r="D428" s="66" t="str">
        <f t="shared" si="3"/>
        <v>Ok</v>
      </c>
      <c r="E428" s="167"/>
      <c r="F428" s="168" t="s">
        <v>267</v>
      </c>
      <c r="G428" s="169">
        <f>B454*2*(PI()*C454*C454/4)*100/(0.5*(H65+H66)*H63*1000000)</f>
        <v>0.21542349624615725</v>
      </c>
      <c r="H428" s="255" t="str">
        <f>IF(G428&lt;0.15,"N.G","OK")</f>
        <v>OK</v>
      </c>
      <c r="K428" s="97" t="s">
        <v>257</v>
      </c>
      <c r="L428" s="58" t="s">
        <v>262</v>
      </c>
      <c r="M428" s="159">
        <f>1.4*M425</f>
        <v>92.399999999999991</v>
      </c>
      <c r="N428" s="160">
        <f>1.4*N425</f>
        <v>78.399999999999991</v>
      </c>
      <c r="O428" s="160">
        <f>1.4*O425</f>
        <v>67.199999999999989</v>
      </c>
      <c r="P428" s="160">
        <f>1.4*P425</f>
        <v>58.8</v>
      </c>
      <c r="Q428" s="161">
        <f>1.4*Q425</f>
        <v>58.8</v>
      </c>
    </row>
    <row r="429" spans="1:17" x14ac:dyDescent="0.25">
      <c r="A429" s="325"/>
      <c r="B429" s="64">
        <v>6</v>
      </c>
      <c r="C429" s="282">
        <f>(C92*F291/4/1)</f>
        <v>1600</v>
      </c>
      <c r="D429" s="64" t="str">
        <f t="shared" si="3"/>
        <v>Ok</v>
      </c>
      <c r="E429" s="167"/>
      <c r="F429" s="2"/>
      <c r="G429" s="34"/>
      <c r="H429" s="2"/>
      <c r="K429" s="78" t="s">
        <v>260</v>
      </c>
      <c r="L429" s="66" t="s">
        <v>263</v>
      </c>
      <c r="M429" s="162">
        <f>1.4*M426</f>
        <v>77</v>
      </c>
      <c r="N429" s="156">
        <f t="shared" ref="N429:Q430" si="4">1.4*N426</f>
        <v>64.399999999999991</v>
      </c>
      <c r="O429" s="156">
        <f t="shared" si="4"/>
        <v>56</v>
      </c>
      <c r="P429" s="156">
        <f t="shared" si="4"/>
        <v>49</v>
      </c>
      <c r="Q429" s="163">
        <f t="shared" si="4"/>
        <v>49</v>
      </c>
    </row>
    <row r="430" spans="1:17" x14ac:dyDescent="0.25">
      <c r="A430" s="323" t="s">
        <v>254</v>
      </c>
      <c r="B430" s="58">
        <v>7</v>
      </c>
      <c r="C430" s="294">
        <f>(B93*F291/4/1)</f>
        <v>1250</v>
      </c>
      <c r="D430" s="58" t="str">
        <f>IF(C430&lt;(B471+A471),"Ok","N.S")</f>
        <v>Ok</v>
      </c>
      <c r="F430" s="80" t="s">
        <v>253</v>
      </c>
      <c r="G430" s="81"/>
      <c r="H430" s="37"/>
      <c r="K430" s="98" t="s">
        <v>261</v>
      </c>
      <c r="L430" s="64" t="s">
        <v>264</v>
      </c>
      <c r="M430" s="164">
        <f>1.4*M427</f>
        <v>91</v>
      </c>
      <c r="N430" s="165">
        <f t="shared" si="4"/>
        <v>84</v>
      </c>
      <c r="O430" s="165">
        <f t="shared" si="4"/>
        <v>77</v>
      </c>
      <c r="P430" s="165">
        <f t="shared" si="4"/>
        <v>70</v>
      </c>
      <c r="Q430" s="166">
        <f>1.4*Q427</f>
        <v>70</v>
      </c>
    </row>
    <row r="431" spans="1:17" x14ac:dyDescent="0.25">
      <c r="A431" s="324"/>
      <c r="B431" s="66">
        <v>8</v>
      </c>
      <c r="C431" s="281">
        <f>(C93*F291/4/1)</f>
        <v>1250</v>
      </c>
      <c r="D431" s="66" t="str">
        <f>IF(C431&lt;(B471+A471),"Ok","N.S")</f>
        <v>Ok</v>
      </c>
      <c r="F431" s="97" t="s">
        <v>265</v>
      </c>
      <c r="G431" s="170">
        <f>((PI()*G91*G91/4)*1000/H91)*100/(1000000*(D65+D75)/2)</f>
        <v>0.19615798032170417</v>
      </c>
      <c r="H431" s="254" t="str">
        <f>IF(G431&lt;0.15,"N.G","OK")</f>
        <v>OK</v>
      </c>
    </row>
    <row r="432" spans="1:17" x14ac:dyDescent="0.25">
      <c r="A432" s="324"/>
      <c r="B432" s="66">
        <v>9</v>
      </c>
      <c r="C432" s="281">
        <f>(B94*F291/4/1)</f>
        <v>1600</v>
      </c>
      <c r="D432" s="66" t="str">
        <f>IF(C432&lt;(E471+D471),"Ok","N.S")</f>
        <v>Ok</v>
      </c>
      <c r="F432" s="78" t="s">
        <v>266</v>
      </c>
      <c r="G432" s="8">
        <f>((PI()*G93*G93/4)*1000/H93)*100/(1000000*(H66+H65)/2)</f>
        <v>0.3506241800881465</v>
      </c>
      <c r="H432" s="254" t="str">
        <f>IF(G432&lt;0.15,"N.G","OK")</f>
        <v>OK</v>
      </c>
    </row>
    <row r="433" spans="1:18" x14ac:dyDescent="0.25">
      <c r="A433" s="325"/>
      <c r="B433" s="64">
        <v>10</v>
      </c>
      <c r="C433" s="282">
        <f>(C94*F291/4/1)</f>
        <v>1250</v>
      </c>
      <c r="D433" s="64" t="str">
        <f>IF(C433&lt;(E471+D471),"Ok","N.S")</f>
        <v>Ok</v>
      </c>
      <c r="F433" s="98" t="s">
        <v>267</v>
      </c>
      <c r="G433" s="169">
        <f>((PI()*G95*G95/4)*1000/H95)*100/(1000000*(H66+H65)/2)</f>
        <v>0.17951958020513098</v>
      </c>
      <c r="H433" s="255" t="str">
        <f>IF(G433&lt;0.15,"N.G","OK")</f>
        <v>OK</v>
      </c>
    </row>
    <row r="434" spans="1:18" x14ac:dyDescent="0.25">
      <c r="A434" s="323" t="s">
        <v>30</v>
      </c>
      <c r="B434" s="58">
        <v>11</v>
      </c>
      <c r="C434" s="294">
        <f>(B95*F291/4/1)</f>
        <v>1600</v>
      </c>
      <c r="D434" s="58" t="str">
        <f>IF(C434&lt;(D75+H64/2)*1000,"Ok","N.S")</f>
        <v>Ok</v>
      </c>
    </row>
    <row r="435" spans="1:18" x14ac:dyDescent="0.25">
      <c r="A435" s="325"/>
      <c r="B435" s="64">
        <v>12</v>
      </c>
      <c r="C435" s="282">
        <f>(C95*F291/4/1)</f>
        <v>1250</v>
      </c>
      <c r="D435" s="64" t="str">
        <f>IF(C435&lt;(D75+H64/2)*1000,"Ok","N.S")</f>
        <v>Ok</v>
      </c>
    </row>
    <row r="436" spans="1:18" x14ac:dyDescent="0.25">
      <c r="A436" s="97" t="s">
        <v>224</v>
      </c>
    </row>
    <row r="437" spans="1:18" x14ac:dyDescent="0.25">
      <c r="A437" s="56" t="s">
        <v>223</v>
      </c>
      <c r="B437" s="57" t="s">
        <v>222</v>
      </c>
      <c r="C437" s="57" t="s">
        <v>221</v>
      </c>
      <c r="D437" s="36" t="s">
        <v>219</v>
      </c>
    </row>
    <row r="438" spans="1:18" x14ac:dyDescent="0.25">
      <c r="A438" s="66" t="s">
        <v>237</v>
      </c>
      <c r="B438" s="113">
        <f>(10000-I91*1000)/D90+1</f>
        <v>34.200000000000003</v>
      </c>
      <c r="C438" s="2">
        <f>B90</f>
        <v>16</v>
      </c>
      <c r="D438" s="142">
        <f>(A459+A466+A463)/1000</f>
        <v>11.810469321370451</v>
      </c>
    </row>
    <row r="439" spans="1:18" x14ac:dyDescent="0.25">
      <c r="A439" s="66" t="s">
        <v>237</v>
      </c>
      <c r="B439" s="113">
        <f>(10000-I91*1000)/D90+1</f>
        <v>34.200000000000003</v>
      </c>
      <c r="C439" s="2">
        <f>C90</f>
        <v>16</v>
      </c>
      <c r="D439" s="142">
        <f>D69+D75-I91-I93</f>
        <v>7.4849999999999994</v>
      </c>
    </row>
    <row r="440" spans="1:18" x14ac:dyDescent="0.25">
      <c r="A440" s="66" t="s">
        <v>238</v>
      </c>
      <c r="B440" s="113">
        <f>(10000-I91*1000)/D91+1</f>
        <v>63.25</v>
      </c>
      <c r="C440" s="2">
        <f>B91</f>
        <v>32</v>
      </c>
      <c r="D440" s="142">
        <f>(D68-D68/3+H66)+D75-I91-I93</f>
        <v>5.8516666666666666</v>
      </c>
    </row>
    <row r="441" spans="1:18" x14ac:dyDescent="0.25">
      <c r="A441" s="66" t="s">
        <v>239</v>
      </c>
      <c r="B441" s="113">
        <f>(10000-I91*1000)/D91+1</f>
        <v>63.25</v>
      </c>
      <c r="C441" s="2">
        <f>C91</f>
        <v>32</v>
      </c>
      <c r="D441" s="142">
        <f>(D68-D68/3+H66)+D75-I91-I93</f>
        <v>5.8516666666666666</v>
      </c>
    </row>
    <row r="442" spans="1:18" x14ac:dyDescent="0.25">
      <c r="A442" s="66" t="s">
        <v>231</v>
      </c>
      <c r="B442" s="113">
        <f>(10000-I91*1000)/D92+1</f>
        <v>63.25</v>
      </c>
      <c r="C442" s="2">
        <f>B92</f>
        <v>32</v>
      </c>
      <c r="D442" s="142">
        <f>(D68-2*D68/3+H66)+D75-I91-I93</f>
        <v>4.2183333333333328</v>
      </c>
    </row>
    <row r="443" spans="1:18" x14ac:dyDescent="0.25">
      <c r="A443" s="64" t="s">
        <v>231</v>
      </c>
      <c r="B443" s="115">
        <f>(10000-I91*1000)/D92+1</f>
        <v>63.25</v>
      </c>
      <c r="C443" s="62">
        <f>C92</f>
        <v>32</v>
      </c>
      <c r="D443" s="143">
        <f>(D68-2*D68/3+H66)+D75-I91-I93</f>
        <v>4.2183333333333328</v>
      </c>
    </row>
    <row r="444" spans="1:18" x14ac:dyDescent="0.25">
      <c r="A444" s="58" t="s">
        <v>233</v>
      </c>
      <c r="B444" s="123">
        <f>(10000-I93*1000)/D93+1</f>
        <v>63.03125</v>
      </c>
      <c r="C444" s="59">
        <f>B93</f>
        <v>25</v>
      </c>
      <c r="D444" s="144">
        <f>H64+D75+H63/2-I93</f>
        <v>8.9749999999999996</v>
      </c>
    </row>
    <row r="445" spans="1:18" x14ac:dyDescent="0.25">
      <c r="A445" s="66" t="s">
        <v>233</v>
      </c>
      <c r="B445" s="113">
        <f>(10000-I93*1000)/D93+1</f>
        <v>63.03125</v>
      </c>
      <c r="C445" s="2">
        <f>C93</f>
        <v>25</v>
      </c>
      <c r="D445" s="142">
        <f>H64+D75+H63/2-I93</f>
        <v>8.9749999999999996</v>
      </c>
      <c r="K445" t="s">
        <v>225</v>
      </c>
      <c r="O445" t="s">
        <v>226</v>
      </c>
      <c r="R445" s="54"/>
    </row>
    <row r="446" spans="1:18" x14ac:dyDescent="0.25">
      <c r="A446" s="66" t="s">
        <v>232</v>
      </c>
      <c r="B446" s="113">
        <f>(10000-I93*1000)/D94+1</f>
        <v>63.03125</v>
      </c>
      <c r="C446" s="2">
        <f>B94</f>
        <v>32</v>
      </c>
      <c r="D446" s="142">
        <f>H64/2+D75+H63/2-I93</f>
        <v>6.2249999999999996</v>
      </c>
      <c r="K446" s="5">
        <f t="shared" ref="K446:K457" si="5">C438*C438/162</f>
        <v>1.5802469135802468</v>
      </c>
      <c r="L446" s="155">
        <f t="shared" ref="L446:L457" si="6">K446*D438</f>
        <v>18.663457693029848</v>
      </c>
      <c r="M446" s="156">
        <f t="shared" ref="M446:M457" si="7">L446*B438</f>
        <v>638.29025310162081</v>
      </c>
      <c r="O446" s="155">
        <f t="shared" ref="O446:O451" si="8">C450*C450/162</f>
        <v>0.88888888888888884</v>
      </c>
      <c r="P446" s="155">
        <f t="shared" ref="P446:P451" si="9">O446*D450</f>
        <v>8.8177777777777777</v>
      </c>
      <c r="Q446" s="155">
        <f t="shared" ref="Q446:Q451" si="10">P446*B450</f>
        <v>433.83466666666669</v>
      </c>
    </row>
    <row r="447" spans="1:18" x14ac:dyDescent="0.25">
      <c r="A447" s="66" t="s">
        <v>232</v>
      </c>
      <c r="B447" s="115">
        <f>(10000-I93*1000)/D94+1</f>
        <v>63.03125</v>
      </c>
      <c r="C447" s="62">
        <f>C94</f>
        <v>25</v>
      </c>
      <c r="D447" s="143">
        <f>H64/2+D75+H63/2-I93</f>
        <v>6.2249999999999996</v>
      </c>
      <c r="K447" s="5">
        <f t="shared" si="5"/>
        <v>1.5802469135802468</v>
      </c>
      <c r="L447" s="155">
        <f t="shared" si="6"/>
        <v>11.828148148148147</v>
      </c>
      <c r="M447" s="156">
        <f t="shared" si="7"/>
        <v>404.52266666666668</v>
      </c>
      <c r="O447" s="155">
        <f t="shared" si="8"/>
        <v>1.5802469135802468</v>
      </c>
      <c r="P447" s="155">
        <f t="shared" si="9"/>
        <v>18.663457693029848</v>
      </c>
      <c r="Q447" s="155">
        <f t="shared" si="10"/>
        <v>918.24211849706853</v>
      </c>
      <c r="R447" s="2"/>
    </row>
    <row r="448" spans="1:18" x14ac:dyDescent="0.25">
      <c r="A448" s="58" t="s">
        <v>234</v>
      </c>
      <c r="B448" s="113">
        <f>(10000-I95*1000)/D95+1</f>
        <v>63.03125</v>
      </c>
      <c r="C448" s="2">
        <f>B95</f>
        <v>32</v>
      </c>
      <c r="D448" s="142">
        <f>H63+D75-I95</f>
        <v>5.4249999999999998</v>
      </c>
      <c r="K448" s="5">
        <f t="shared" si="5"/>
        <v>6.3209876543209873</v>
      </c>
      <c r="L448" s="155">
        <f t="shared" si="6"/>
        <v>36.988312757201641</v>
      </c>
      <c r="M448" s="156">
        <f t="shared" si="7"/>
        <v>2339.5107818930037</v>
      </c>
      <c r="O448" s="155">
        <f t="shared" si="8"/>
        <v>0.88888888888888884</v>
      </c>
      <c r="P448" s="155">
        <f t="shared" si="9"/>
        <v>8.7555555555555546</v>
      </c>
      <c r="Q448" s="155">
        <f t="shared" si="10"/>
        <v>321.03703703703701</v>
      </c>
      <c r="R448" s="2"/>
    </row>
    <row r="449" spans="1:18" x14ac:dyDescent="0.25">
      <c r="A449" s="64" t="s">
        <v>234</v>
      </c>
      <c r="B449" s="115">
        <f>(10000-I95*1000)/D95+1</f>
        <v>63.03125</v>
      </c>
      <c r="C449" s="62">
        <f>C95</f>
        <v>25</v>
      </c>
      <c r="D449" s="143">
        <f>H63+D75-I95</f>
        <v>5.4249999999999998</v>
      </c>
      <c r="K449" s="5">
        <f t="shared" si="5"/>
        <v>6.3209876543209873</v>
      </c>
      <c r="L449" s="155">
        <f t="shared" si="6"/>
        <v>36.988312757201641</v>
      </c>
      <c r="M449" s="156">
        <f t="shared" si="7"/>
        <v>2339.5107818930037</v>
      </c>
      <c r="O449" s="155">
        <f t="shared" si="8"/>
        <v>3.8580246913580245</v>
      </c>
      <c r="P449" s="155">
        <f t="shared" si="9"/>
        <v>24.305555555555554</v>
      </c>
      <c r="Q449" s="155">
        <f t="shared" si="10"/>
        <v>674.47916666666663</v>
      </c>
      <c r="R449" s="2"/>
    </row>
    <row r="450" spans="1:18" ht="15.75" x14ac:dyDescent="0.25">
      <c r="A450" s="58" t="s">
        <v>235</v>
      </c>
      <c r="B450" s="112">
        <f>(D68-I91*2)*1000/F91+1</f>
        <v>49.2</v>
      </c>
      <c r="C450" s="2">
        <f>E91</f>
        <v>12</v>
      </c>
      <c r="D450" s="67">
        <f>10-2*I91</f>
        <v>9.92</v>
      </c>
      <c r="F450" s="97"/>
      <c r="G450" s="148"/>
      <c r="H450" s="153" t="s">
        <v>230</v>
      </c>
      <c r="I450" s="149" t="s">
        <v>220</v>
      </c>
      <c r="K450" s="5">
        <f t="shared" si="5"/>
        <v>6.3209876543209873</v>
      </c>
      <c r="L450" s="155">
        <f t="shared" si="6"/>
        <v>26.664032921810694</v>
      </c>
      <c r="M450" s="156">
        <f t="shared" si="7"/>
        <v>1686.5000823045264</v>
      </c>
      <c r="O450" s="155">
        <f t="shared" si="8"/>
        <v>0.88888888888888884</v>
      </c>
      <c r="P450" s="155">
        <f t="shared" si="9"/>
        <v>8.7555555555555546</v>
      </c>
      <c r="Q450" s="155">
        <f t="shared" si="10"/>
        <v>227.64444444444442</v>
      </c>
      <c r="R450" s="113"/>
    </row>
    <row r="451" spans="1:18" ht="15.75" x14ac:dyDescent="0.25">
      <c r="A451" s="64" t="s">
        <v>247</v>
      </c>
      <c r="B451" s="145">
        <f>(D68-I91*2)*1000/H91+1</f>
        <v>49.2</v>
      </c>
      <c r="C451" s="62">
        <f>G91</f>
        <v>16</v>
      </c>
      <c r="D451" s="143">
        <f>D438</f>
        <v>11.810469321370451</v>
      </c>
      <c r="F451" s="151" t="s">
        <v>228</v>
      </c>
      <c r="G451" s="81"/>
      <c r="H451" s="154">
        <f>(B126+F126)/D87</f>
        <v>13.362499999999999</v>
      </c>
      <c r="I451" s="36">
        <f>H451*10</f>
        <v>133.625</v>
      </c>
      <c r="K451" s="5">
        <f t="shared" si="5"/>
        <v>6.3209876543209873</v>
      </c>
      <c r="L451" s="155">
        <f t="shared" si="6"/>
        <v>26.664032921810694</v>
      </c>
      <c r="M451" s="156">
        <f t="shared" si="7"/>
        <v>1686.5000823045264</v>
      </c>
      <c r="O451" s="155">
        <f t="shared" si="8"/>
        <v>1.5802469135802468</v>
      </c>
      <c r="P451" s="155">
        <f t="shared" si="9"/>
        <v>8.3061030676209402</v>
      </c>
      <c r="Q451" s="155">
        <f t="shared" si="10"/>
        <v>202.98039371498672</v>
      </c>
      <c r="R451" s="113"/>
    </row>
    <row r="452" spans="1:18" x14ac:dyDescent="0.25">
      <c r="A452" s="58" t="s">
        <v>96</v>
      </c>
      <c r="B452" s="146">
        <f>(H64-2*I93)*1000/F93+1</f>
        <v>36.666666666666664</v>
      </c>
      <c r="C452" s="59">
        <f>E93</f>
        <v>12</v>
      </c>
      <c r="D452" s="144">
        <f>10-2*I93</f>
        <v>9.85</v>
      </c>
      <c r="F452" s="78"/>
      <c r="I452" s="150" t="s">
        <v>227</v>
      </c>
      <c r="K452" s="5">
        <f t="shared" si="5"/>
        <v>3.8580246913580245</v>
      </c>
      <c r="L452" s="155">
        <f t="shared" si="6"/>
        <v>34.625771604938265</v>
      </c>
      <c r="M452" s="156">
        <f t="shared" si="7"/>
        <v>2182.5056664737649</v>
      </c>
      <c r="O452" s="155"/>
      <c r="P452" s="155"/>
      <c r="Q452" s="155">
        <f>SUM(Q446:Q451)</f>
        <v>2778.2178270268701</v>
      </c>
      <c r="R452" s="113"/>
    </row>
    <row r="453" spans="1:18" x14ac:dyDescent="0.25">
      <c r="A453" s="158" t="s">
        <v>248</v>
      </c>
      <c r="B453" s="145">
        <f>(H64-2*I93)*1000/H93+1</f>
        <v>27.75</v>
      </c>
      <c r="C453" s="62">
        <f>G93</f>
        <v>25</v>
      </c>
      <c r="D453" s="143">
        <f>(H471+I471)/1000</f>
        <v>6.3</v>
      </c>
      <c r="F453" s="38" t="s">
        <v>229</v>
      </c>
      <c r="G453" s="81"/>
      <c r="H453" s="81"/>
      <c r="I453" s="152">
        <f>M458+Q452</f>
        <v>23712.655715930956</v>
      </c>
      <c r="K453" s="5">
        <f t="shared" si="5"/>
        <v>3.8580246913580245</v>
      </c>
      <c r="L453" s="155">
        <f t="shared" si="6"/>
        <v>34.625771604938265</v>
      </c>
      <c r="M453" s="156">
        <f t="shared" si="7"/>
        <v>2182.5056664737649</v>
      </c>
    </row>
    <row r="454" spans="1:18" x14ac:dyDescent="0.25">
      <c r="A454" s="66" t="s">
        <v>236</v>
      </c>
      <c r="B454" s="147">
        <f>(H63-2*I95)*1000/F95+1</f>
        <v>26</v>
      </c>
      <c r="C454" s="2">
        <f>E95</f>
        <v>12</v>
      </c>
      <c r="D454" s="142">
        <f>10-2*I95</f>
        <v>9.85</v>
      </c>
      <c r="K454" s="5">
        <f t="shared" si="5"/>
        <v>6.3209876543209873</v>
      </c>
      <c r="L454" s="155">
        <f t="shared" si="6"/>
        <v>39.348148148148141</v>
      </c>
      <c r="M454" s="156">
        <f t="shared" si="7"/>
        <v>2480.1629629629624</v>
      </c>
    </row>
    <row r="455" spans="1:18" x14ac:dyDescent="0.25">
      <c r="A455" s="158" t="s">
        <v>249</v>
      </c>
      <c r="B455" s="145">
        <f>(H63-2*I95)*1000/H95+1</f>
        <v>24.4375</v>
      </c>
      <c r="C455" s="62">
        <f>G95</f>
        <v>16</v>
      </c>
      <c r="D455" s="143">
        <f>(E480+E479+F478)/1000</f>
        <v>5.256205847478876</v>
      </c>
      <c r="K455" s="5">
        <f t="shared" si="5"/>
        <v>3.8580246913580245</v>
      </c>
      <c r="L455" s="155">
        <f t="shared" si="6"/>
        <v>24.016203703703702</v>
      </c>
      <c r="M455" s="156">
        <f t="shared" si="7"/>
        <v>1513.7713396990739</v>
      </c>
    </row>
    <row r="456" spans="1:18" x14ac:dyDescent="0.25">
      <c r="K456" s="5">
        <f t="shared" si="5"/>
        <v>6.3209876543209873</v>
      </c>
      <c r="L456" s="155">
        <f t="shared" si="6"/>
        <v>34.291358024691355</v>
      </c>
      <c r="M456" s="156">
        <f t="shared" si="7"/>
        <v>2161.4271604938272</v>
      </c>
    </row>
    <row r="457" spans="1:18" x14ac:dyDescent="0.25">
      <c r="A457" s="241"/>
      <c r="B457" s="242" t="s">
        <v>240</v>
      </c>
      <c r="C457" s="243"/>
      <c r="D457" s="243"/>
      <c r="E457" s="244"/>
      <c r="F457" s="245" t="s">
        <v>243</v>
      </c>
      <c r="G457" s="243"/>
      <c r="H457" s="243"/>
      <c r="I457" s="246"/>
      <c r="K457" s="5">
        <f t="shared" si="5"/>
        <v>3.8580246913580245</v>
      </c>
      <c r="L457" s="155">
        <f t="shared" si="6"/>
        <v>20.929783950617281</v>
      </c>
      <c r="M457" s="156">
        <f t="shared" si="7"/>
        <v>1319.2304446373455</v>
      </c>
    </row>
    <row r="458" spans="1:18" x14ac:dyDescent="0.25">
      <c r="A458" s="159"/>
      <c r="B458" s="160"/>
      <c r="C458" s="160"/>
      <c r="D458" s="160"/>
      <c r="E458" s="160"/>
      <c r="F458" s="160"/>
      <c r="G458" s="247" t="s">
        <v>244</v>
      </c>
      <c r="H458" s="160"/>
      <c r="I458" s="161"/>
      <c r="M458" s="156">
        <f>SUM(M446:M457)</f>
        <v>20934.437888904085</v>
      </c>
    </row>
    <row r="459" spans="1:18" x14ac:dyDescent="0.25">
      <c r="A459" s="162">
        <f>(D65-I91*2-G91/1000-E91/1000-MAX(B90,C90)/2000)*1000</f>
        <v>333.99999999999994</v>
      </c>
      <c r="B459" s="156"/>
      <c r="C459" s="229">
        <f>C473</f>
        <v>150</v>
      </c>
      <c r="D459" s="230">
        <f>C473</f>
        <v>150</v>
      </c>
      <c r="E459" s="156"/>
      <c r="F459" s="113">
        <f>A459</f>
        <v>333.99999999999994</v>
      </c>
      <c r="G459" s="156"/>
      <c r="H459" s="156"/>
      <c r="I459" s="163"/>
    </row>
    <row r="460" spans="1:18" x14ac:dyDescent="0.25">
      <c r="A460" s="162"/>
      <c r="B460" s="156"/>
      <c r="C460" s="156"/>
      <c r="D460" s="156"/>
      <c r="E460" s="156"/>
      <c r="F460" s="229"/>
      <c r="G460" s="156"/>
      <c r="H460" s="113">
        <f>(10-2*I91)*1000</f>
        <v>9920</v>
      </c>
      <c r="I460" s="163"/>
      <c r="K460" s="157"/>
    </row>
    <row r="461" spans="1:18" x14ac:dyDescent="0.25">
      <c r="A461" s="162"/>
      <c r="B461" s="156"/>
      <c r="C461" s="156"/>
      <c r="D461" s="156"/>
      <c r="E461" s="156"/>
      <c r="F461" s="156"/>
      <c r="G461" s="156"/>
      <c r="H461" s="156"/>
      <c r="I461" s="125"/>
      <c r="L461">
        <f>(D69-I91-MAX(I93,I95)-MAX(B90,C90)/1000)*1000/SIN(PI()*D73/180)</f>
        <v>25686.521456274091</v>
      </c>
    </row>
    <row r="462" spans="1:18" x14ac:dyDescent="0.25">
      <c r="A462" s="162"/>
      <c r="B462" s="156"/>
      <c r="C462" s="156"/>
      <c r="D462" s="156"/>
      <c r="E462" s="156"/>
      <c r="F462" s="156"/>
      <c r="G462" s="156"/>
      <c r="H462" s="156"/>
      <c r="I462" s="163"/>
    </row>
    <row r="463" spans="1:18" x14ac:dyDescent="0.25">
      <c r="A463" s="162">
        <f>(D69-I91-MAX(I93,I95)-MAX(B90,C90)/1000)*1000/SIN(PI()*D72/180)</f>
        <v>6028.4693213704513</v>
      </c>
      <c r="B463" s="156"/>
      <c r="C463" s="156">
        <f>(D69-D68/3-I91-MAX(I93,I95)-MAX(B90,C90)/1000)*1000/SIN(PI()*D72/180)</f>
        <v>4350.755930405765</v>
      </c>
      <c r="D463" s="156">
        <f>(D69-2*D68/3-I91-MAX(I93,I95)-MAX(B90,C90)/1000)*1000/SIN(PI()*D72/180)</f>
        <v>2673.04253944108</v>
      </c>
      <c r="E463" s="156"/>
      <c r="F463" s="113">
        <f>A463</f>
        <v>6028.4693213704513</v>
      </c>
      <c r="G463" s="156"/>
      <c r="H463" s="156"/>
      <c r="I463" s="163"/>
    </row>
    <row r="464" spans="1:18" x14ac:dyDescent="0.25">
      <c r="A464" s="162"/>
      <c r="B464" s="156"/>
      <c r="C464" s="156"/>
      <c r="D464" s="156"/>
      <c r="E464" s="230"/>
      <c r="F464" s="156"/>
      <c r="G464" s="113"/>
      <c r="H464" s="156"/>
      <c r="I464" s="248"/>
    </row>
    <row r="465" spans="1:9" x14ac:dyDescent="0.25">
      <c r="A465" s="162"/>
      <c r="B465" s="156"/>
      <c r="C465" s="156"/>
      <c r="D465" s="156"/>
      <c r="E465" s="156"/>
      <c r="F465" s="156"/>
      <c r="G465" s="156"/>
      <c r="H465" s="156"/>
      <c r="I465" s="163"/>
    </row>
    <row r="466" spans="1:9" x14ac:dyDescent="0.25">
      <c r="A466" s="162">
        <f>1000*(H67-2*I91-MAX(B92,C92)/2000-G91/2000)/2</f>
        <v>5448</v>
      </c>
      <c r="B466" s="156"/>
      <c r="C466" s="229">
        <f>1000*(H67-2*I91-MAX(B92,C92)/2000-G91/2000)/2</f>
        <v>5448</v>
      </c>
      <c r="D466" s="156">
        <f>1000*(H67-2*I91-MAX(B92,C92)/2000-G91/2000)/2</f>
        <v>5448</v>
      </c>
      <c r="E466" s="156"/>
      <c r="F466" s="113">
        <f>A466</f>
        <v>5448</v>
      </c>
      <c r="G466" s="156"/>
      <c r="H466" s="156"/>
      <c r="I466" s="163"/>
    </row>
    <row r="467" spans="1:9" x14ac:dyDescent="0.25">
      <c r="A467" s="162"/>
      <c r="B467" s="156"/>
      <c r="C467" s="156"/>
      <c r="D467" s="156"/>
      <c r="E467" s="156"/>
      <c r="F467" s="156"/>
      <c r="G467" s="156"/>
      <c r="H467" s="156"/>
      <c r="I467" s="163"/>
    </row>
    <row r="468" spans="1:9" x14ac:dyDescent="0.25">
      <c r="A468" s="164"/>
      <c r="B468" s="165"/>
      <c r="C468" s="165"/>
      <c r="D468" s="165"/>
      <c r="E468" s="165"/>
      <c r="F468" s="165"/>
      <c r="G468" s="165"/>
      <c r="H468" s="165"/>
      <c r="I468" s="166"/>
    </row>
    <row r="469" spans="1:9" x14ac:dyDescent="0.25">
      <c r="A469" s="228"/>
      <c r="B469" s="240" t="s">
        <v>241</v>
      </c>
      <c r="C469" s="156"/>
      <c r="D469" s="156"/>
      <c r="E469" s="156"/>
      <c r="F469" s="156"/>
      <c r="G469" s="240" t="s">
        <v>245</v>
      </c>
      <c r="H469" s="156"/>
      <c r="I469" s="231"/>
    </row>
    <row r="470" spans="1:9" x14ac:dyDescent="0.25">
      <c r="A470" s="159"/>
      <c r="B470" s="160"/>
      <c r="C470" s="160"/>
      <c r="D470" s="160"/>
      <c r="E470" s="160"/>
      <c r="F470" s="160"/>
      <c r="G470" s="160"/>
      <c r="H470" s="249"/>
      <c r="I470" s="161"/>
    </row>
    <row r="471" spans="1:9" x14ac:dyDescent="0.25">
      <c r="A471" s="147">
        <f>((H63/2)/COS(H71*PI()/180))*1000</f>
        <v>1990.6029237394382</v>
      </c>
      <c r="B471" s="229">
        <f>(H67-2*I91)*1000</f>
        <v>10920</v>
      </c>
      <c r="C471" s="229">
        <f>(H64-I93)*1000/COS(H70*PI()/180)</f>
        <v>5482.088056827427</v>
      </c>
      <c r="D471" s="113">
        <f>((H63/2)/COS(H71*PI()/180))*1000</f>
        <v>1990.6029237394382</v>
      </c>
      <c r="E471" s="229">
        <f>(H67-2*I91)*1000</f>
        <v>10920</v>
      </c>
      <c r="F471" s="229">
        <f>(H64/2-I93)*1000/COS(H70*PI()/180)</f>
        <v>2703.1494105093766</v>
      </c>
      <c r="G471" s="156"/>
      <c r="H471" s="229">
        <f>(H64+D75/2-I93)*1000</f>
        <v>6225</v>
      </c>
      <c r="I471" s="248">
        <f>1000*(H65-2*I93)/2</f>
        <v>75</v>
      </c>
    </row>
    <row r="472" spans="1:9" x14ac:dyDescent="0.25">
      <c r="A472" s="162"/>
      <c r="B472" s="156"/>
      <c r="C472" s="156"/>
      <c r="D472" s="156"/>
      <c r="E472" s="156"/>
      <c r="F472" s="156"/>
      <c r="G472" s="156"/>
      <c r="H472" s="156"/>
      <c r="I472" s="248"/>
    </row>
    <row r="473" spans="1:9" x14ac:dyDescent="0.25">
      <c r="A473" s="250">
        <v>150</v>
      </c>
      <c r="B473" s="156"/>
      <c r="C473" s="229">
        <f>(H65-I93*2)*1000</f>
        <v>150</v>
      </c>
      <c r="D473" s="229">
        <v>150</v>
      </c>
      <c r="E473" s="156"/>
      <c r="F473" s="229">
        <f>(H65-I93*2)*1000</f>
        <v>150</v>
      </c>
      <c r="G473" s="156"/>
      <c r="H473" s="156"/>
      <c r="I473" s="163"/>
    </row>
    <row r="474" spans="1:9" x14ac:dyDescent="0.25">
      <c r="A474" s="162"/>
      <c r="B474" s="156"/>
      <c r="C474" s="156"/>
      <c r="D474" s="156"/>
      <c r="E474" s="156"/>
      <c r="F474" s="156"/>
      <c r="G474" s="156"/>
      <c r="H474" s="229">
        <f>(10-2*I91)*1000</f>
        <v>9920</v>
      </c>
      <c r="I474" s="163"/>
    </row>
    <row r="475" spans="1:9" x14ac:dyDescent="0.25">
      <c r="A475" s="164"/>
      <c r="B475" s="165"/>
      <c r="C475" s="165"/>
      <c r="D475" s="165"/>
      <c r="E475" s="165"/>
      <c r="F475" s="115"/>
      <c r="G475" s="165"/>
      <c r="H475" s="165"/>
      <c r="I475" s="166"/>
    </row>
    <row r="476" spans="1:9" x14ac:dyDescent="0.25">
      <c r="A476" s="228"/>
      <c r="B476" s="240" t="s">
        <v>242</v>
      </c>
      <c r="C476" s="156"/>
      <c r="D476" s="156"/>
      <c r="E476" s="240" t="s">
        <v>246</v>
      </c>
      <c r="F476" s="156"/>
      <c r="G476" s="113"/>
      <c r="H476" s="156"/>
      <c r="I476" s="231"/>
    </row>
    <row r="477" spans="1:9" x14ac:dyDescent="0.25">
      <c r="A477" s="159"/>
      <c r="B477" s="160"/>
      <c r="C477" s="160"/>
      <c r="D477" s="160"/>
      <c r="E477" s="160"/>
      <c r="F477" s="160"/>
      <c r="G477" s="160"/>
      <c r="H477" s="160"/>
      <c r="I477" s="161"/>
    </row>
    <row r="478" spans="1:9" x14ac:dyDescent="0.25">
      <c r="A478" s="162"/>
      <c r="B478" s="156"/>
      <c r="C478" s="156">
        <f>D473</f>
        <v>150</v>
      </c>
      <c r="D478" s="156"/>
      <c r="E478" s="156"/>
      <c r="F478" s="156">
        <f>1000*D75/2</f>
        <v>799.99999999999989</v>
      </c>
      <c r="G478" s="156"/>
      <c r="H478" s="156"/>
      <c r="I478" s="163"/>
    </row>
    <row r="479" spans="1:9" x14ac:dyDescent="0.25">
      <c r="A479" s="162">
        <f>(H65-2*I95-G95/1000-E95/1000)*1000</f>
        <v>122.00000000000001</v>
      </c>
      <c r="B479" s="156"/>
      <c r="C479" s="156"/>
      <c r="D479" s="156"/>
      <c r="E479" s="156">
        <f>(H63/(COS(PI()*H71/180)))*1000</f>
        <v>3981.2058474788764</v>
      </c>
      <c r="F479" s="156"/>
      <c r="G479" s="156"/>
      <c r="H479" s="113">
        <f>(10-2*I91)*1000</f>
        <v>9920</v>
      </c>
      <c r="I479" s="163"/>
    </row>
    <row r="480" spans="1:9" x14ac:dyDescent="0.25">
      <c r="A480" s="162"/>
      <c r="B480" s="156">
        <f>(H63+D75+H64/2-I95)*1000</f>
        <v>8175.0000000000009</v>
      </c>
      <c r="C480" s="156"/>
      <c r="D480" s="156"/>
      <c r="E480" s="113">
        <f>1000*(H66-2*I95)/2</f>
        <v>475.00000000000006</v>
      </c>
      <c r="F480" s="156"/>
      <c r="G480" s="156"/>
      <c r="I480" s="163"/>
    </row>
    <row r="481" spans="1:9" x14ac:dyDescent="0.25">
      <c r="A481" s="164"/>
      <c r="B481" s="165"/>
      <c r="C481" s="165"/>
      <c r="D481" s="165"/>
      <c r="E481" s="165"/>
      <c r="F481" s="165"/>
      <c r="G481" s="165"/>
      <c r="H481" s="165"/>
      <c r="I481" s="166"/>
    </row>
    <row r="483" spans="1:9" x14ac:dyDescent="0.25">
      <c r="A483" s="156"/>
    </row>
  </sheetData>
  <sheetProtection algorithmName="SHA-512" hashValue="tdjGt5vQ+ENElm55ng43U68IhJXhIfWvZG7dYzt8SXN5SZ04ZqJnR1qOKgra2UAI63n/LCQfeDNqyjWQuy3F2A==" saltValue="MAbUn9ffefban2i2P/icuw==" spinCount="100000" sheet="1" objects="1" scenarios="1"/>
  <dataConsolidate/>
  <mergeCells count="19">
    <mergeCell ref="A434:A435"/>
    <mergeCell ref="B89:C89"/>
    <mergeCell ref="G89:H89"/>
    <mergeCell ref="D274:E274"/>
    <mergeCell ref="A424:A429"/>
    <mergeCell ref="F85:G86"/>
    <mergeCell ref="H85:H86"/>
    <mergeCell ref="I85:I86"/>
    <mergeCell ref="H263:I264"/>
    <mergeCell ref="A430:A433"/>
    <mergeCell ref="A3:I3"/>
    <mergeCell ref="B13:H16"/>
    <mergeCell ref="A1:B1"/>
    <mergeCell ref="C1:G1"/>
    <mergeCell ref="H1:I1"/>
    <mergeCell ref="A2:B2"/>
    <mergeCell ref="C2:D2"/>
    <mergeCell ref="E2:F2"/>
    <mergeCell ref="G2:H2"/>
  </mergeCells>
  <phoneticPr fontId="35" type="noConversion"/>
  <pageMargins left="0.9055118110236221" right="0.51181102362204722" top="0.74803149606299213" bottom="0.74803149606299213" header="0.31496062992125984" footer="0.31496062992125984"/>
  <pageSetup paperSize="9" orientation="portrait"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35" type="noConversion"/>
  <pageMargins left="0.7" right="0.7" top="0.75" bottom="0.75" header="0.3" footer="0.3"/>
  <drawing r:id="rId1"/>
  <legacyDrawing r:id="rId2"/>
  <oleObjects>
    <mc:AlternateContent xmlns:mc="http://schemas.openxmlformats.org/markup-compatibility/2006">
      <mc:Choice Requires="x14">
        <oleObject progId="AutoCAD.Drawing.18" shapeId="2051" r:id="rId3">
          <objectPr defaultSize="0" autoPict="0" r:id="rId4">
            <anchor moveWithCells="1">
              <from>
                <xdr:col>0</xdr:col>
                <xdr:colOff>0</xdr:colOff>
                <xdr:row>0</xdr:row>
                <xdr:rowOff>104775</xdr:rowOff>
              </from>
              <to>
                <xdr:col>21</xdr:col>
                <xdr:colOff>571500</xdr:colOff>
                <xdr:row>31</xdr:row>
                <xdr:rowOff>19050</xdr:rowOff>
              </to>
            </anchor>
          </objectPr>
        </oleObject>
      </mc:Choice>
      <mc:Fallback>
        <oleObject progId="AutoCAD.Drawing.18" shapeId="2051"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 R. W. D. W. H. S </vt:lpstr>
      <vt:lpstr>Sheet1</vt:lpstr>
      <vt:lpstr>'C. R. W. D. W. H. 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Harjot Singh</cp:lastModifiedBy>
  <cp:lastPrinted>2011-03-21T10:18:34Z</cp:lastPrinted>
  <dcterms:created xsi:type="dcterms:W3CDTF">2010-09-18T04:33:46Z</dcterms:created>
  <dcterms:modified xsi:type="dcterms:W3CDTF">2025-09-06T00:14:17Z</dcterms:modified>
</cp:coreProperties>
</file>